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95" windowWidth="13500" windowHeight="105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<sst xmlns="http://schemas.openxmlformats.org/spreadsheetml/2006/main" count="166" uniqueCount="113">
  <si>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</si>
  <si>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</si>
  <si>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</si>
  <si>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</si>
  <si>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</si>
  <si>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</si>
  <si>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</si>
  <si>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</si>
  <si>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</si>
  <si>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</si>
  <si>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</si>
  <si>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</si>
  <si>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</si>
  <si>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</si>
  <si>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</si>
  <si>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</si>
  <si>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</si>
  <si>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</si>
  <si>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</si>
  <si>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</si>
  <si>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</si>
  <si>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</si>
  <si>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</si>
  <si>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</si>
  <si>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</si>
  <si>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</si>
  <si>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</si>
  <si>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</si>
  <si>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</si>
  <si>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</si>
  <si>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</si>
  <si>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</si>
  <si>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</si>
  <si>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</si>
  <si>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</si>
  <si>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</si>
  <si>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</si>
  <si>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</si>
  <si>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</si>
  <si>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</si>
  <si>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</si>
  <si>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</si>
  <si>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</si>
  <si>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</si>
  <si>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</si>
  <si>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</si>
  <si>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</si>
  <si>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</si>
  <si>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</si>
  <si>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</si>
  <si>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</si>
  <si>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</si>
  <si>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</si>
  <si>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</si>
  <si>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</si>
  <si>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</si>
  <si>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</si>
  <si>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</si>
  <si>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</si>
  <si>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</si>
  <si>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</si>
  <si>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</si>
  <si>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</si>
  <si>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</si>
  <si>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</si>
  <si>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</si>
  <si>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</si>
  <si>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</si>
  <si>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</si>
  <si>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</si>
  <si>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</si>
  <si>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</si>
  <si>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</si>
  <si>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</si>
  <si>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</si>
  <si>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</si>
  <si>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</si>
  <si>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</si>
  <si>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</si>
  <si>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</si>
  <si>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</si>
  <si>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</si>
  <si>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</si>
  <si>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</si>
  <si>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</si>
  <si>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</si>
  <si>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</si>
  <si>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</si>
  <si>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</si>
  <si>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</si>
  <si>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</si>
  <si>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</si>
  <si>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</si>
  <si>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</si>
  <si>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</si>
  <si>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</si>
  <si>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</si>
  <si>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</si>
  <si>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</si>
  <si>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</si>
  <si>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</si>
  <si>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</si>
  <si>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</si>
  <si>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</si>
  <si>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</si>
  <si>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</si>
  <si>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</si>
  <si>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</si>
  <si>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</si>
  <si>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8 місяців, тис.грн.</t>
  </si>
  <si>
    <t>Відсоток виконання  плану 8 місяців</t>
  </si>
  <si>
    <t>Відхилення від  плану 8 місяців, тис.грн.</t>
  </si>
  <si>
    <t>Аналіз використання коштів загального фонду міського бюджету станом на 30.08.2018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</si>
</sst>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139190.49999999997</c:v>
                </c:pt>
                <c:pt idx="1">
                  <c:v>131650.31</c:v>
                </c:pt>
                <c:pt idx="2">
                  <c:v>1455.5000000000002</c:v>
                </c:pt>
                <c:pt idx="3">
                  <c:v>6084.689999999973</c:v>
                </c:pt>
              </c:numCache>
            </c:numRef>
          </c:val>
          <c:shape val="box"/>
        </c:ser>
        <c:shape val="box"/>
        <c:axId val="36499382"/>
        <c:axId val="60058983"/>
      </c:bar3D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58983"/>
        <c:crosses val="autoZero"/>
        <c:auto val="1"/>
        <c:lblOffset val="100"/>
        <c:tickLblSkip val="1"/>
        <c:noMultiLvlLbl val="0"/>
      </c:catAx>
      <c:valAx>
        <c:axId val="60058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993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516276.8</c:v>
                </c:pt>
                <c:pt idx="1">
                  <c:v>174571.59999999998</c:v>
                </c:pt>
                <c:pt idx="2">
                  <c:v>423163.2000000002</c:v>
                </c:pt>
                <c:pt idx="3">
                  <c:v>21.3</c:v>
                </c:pt>
                <c:pt idx="4">
                  <c:v>20268.3</c:v>
                </c:pt>
                <c:pt idx="5">
                  <c:v>52587.79999999999</c:v>
                </c:pt>
                <c:pt idx="6">
                  <c:v>7873.9</c:v>
                </c:pt>
                <c:pt idx="7">
                  <c:v>12362.299999999808</c:v>
                </c:pt>
              </c:numCache>
            </c:numRef>
          </c:val>
          <c:shape val="box"/>
        </c:ser>
        <c:shape val="box"/>
        <c:axId val="3659936"/>
        <c:axId val="32939425"/>
      </c:bar3DChart>
      <c:catAx>
        <c:axId val="36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39425"/>
        <c:crosses val="autoZero"/>
        <c:auto val="1"/>
        <c:lblOffset val="100"/>
        <c:tickLblSkip val="1"/>
        <c:noMultiLvlLbl val="0"/>
      </c:catAx>
      <c:valAx>
        <c:axId val="32939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259193.99999999997</c:v>
                </c:pt>
                <c:pt idx="1">
                  <c:v>164074.80000000005</c:v>
                </c:pt>
                <c:pt idx="2">
                  <c:v>259193.99999999997</c:v>
                </c:pt>
              </c:numCache>
            </c:numRef>
          </c:val>
          <c:shape val="box"/>
        </c:ser>
        <c:shape val="box"/>
        <c:axId val="28019370"/>
        <c:axId val="50847739"/>
      </c:bar3D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47739"/>
        <c:crosses val="autoZero"/>
        <c:auto val="1"/>
        <c:lblOffset val="100"/>
        <c:tickLblSkip val="1"/>
        <c:noMultiLvlLbl val="0"/>
      </c:catAx>
      <c:valAx>
        <c:axId val="50847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19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14494.2</c:v>
                </c:pt>
                <c:pt idx="1">
                  <c:v>8334.400000000001</c:v>
                </c:pt>
                <c:pt idx="2">
                  <c:v>59.6</c:v>
                </c:pt>
                <c:pt idx="3">
                  <c:v>1009.0999999999998</c:v>
                </c:pt>
                <c:pt idx="4">
                  <c:v>460.19999999999993</c:v>
                </c:pt>
                <c:pt idx="5">
                  <c:v>34.2</c:v>
                </c:pt>
                <c:pt idx="6">
                  <c:v>4596.7</c:v>
                </c:pt>
              </c:numCache>
            </c:numRef>
          </c:val>
          <c:shape val="box"/>
        </c:ser>
        <c:shape val="box"/>
        <c:axId val="54976468"/>
        <c:axId val="25026165"/>
      </c:bar3D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26165"/>
        <c:crosses val="autoZero"/>
        <c:auto val="1"/>
        <c:lblOffset val="100"/>
        <c:tickLblSkip val="1"/>
        <c:noMultiLvlLbl val="0"/>
      </c:catAx>
      <c:valAx>
        <c:axId val="2502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764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20245.5</c:v>
                </c:pt>
                <c:pt idx="1">
                  <c:v>12003.6</c:v>
                </c:pt>
                <c:pt idx="3">
                  <c:v>518.8</c:v>
                </c:pt>
                <c:pt idx="4">
                  <c:v>524.1000000000001</c:v>
                </c:pt>
                <c:pt idx="5">
                  <c:v>880</c:v>
                </c:pt>
                <c:pt idx="6">
                  <c:v>6318.999999999999</c:v>
                </c:pt>
              </c:numCache>
            </c:numRef>
          </c:val>
          <c:shape val="box"/>
        </c:ser>
        <c:shape val="box"/>
        <c:axId val="23908894"/>
        <c:axId val="13853455"/>
      </c:bar3DChart>
      <c:catAx>
        <c:axId val="2390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53455"/>
        <c:crosses val="autoZero"/>
        <c:auto val="1"/>
        <c:lblOffset val="100"/>
        <c:tickLblSkip val="2"/>
        <c:noMultiLvlLbl val="0"/>
      </c:catAx>
      <c:valAx>
        <c:axId val="13853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5629.3</c:v>
                </c:pt>
                <c:pt idx="1">
                  <c:v>1979.3000000000004</c:v>
                </c:pt>
                <c:pt idx="2">
                  <c:v>391.1</c:v>
                </c:pt>
                <c:pt idx="3">
                  <c:v>227.6999999999999</c:v>
                </c:pt>
                <c:pt idx="4">
                  <c:v>2732.9</c:v>
                </c:pt>
                <c:pt idx="5">
                  <c:v>298.30000000000007</c:v>
                </c:pt>
              </c:numCache>
            </c:numRef>
          </c:val>
          <c:shape val="box"/>
        </c:ser>
        <c:shape val="box"/>
        <c:axId val="57572232"/>
        <c:axId val="48388041"/>
      </c:bar3DChart>
      <c:catAx>
        <c:axId val="5757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88041"/>
        <c:crosses val="autoZero"/>
        <c:auto val="1"/>
        <c:lblOffset val="100"/>
        <c:tickLblSkip val="1"/>
        <c:noMultiLvlLbl val="0"/>
      </c:catAx>
      <c:valAx>
        <c:axId val="48388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2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26609.999999999996</c:v>
                </c:pt>
              </c:numCache>
            </c:numRef>
          </c:val>
          <c:shape val="box"/>
        </c:ser>
        <c:shape val="box"/>
        <c:axId val="32839186"/>
        <c:axId val="27117219"/>
      </c:bar3DChart>
      <c:catAx>
        <c:axId val="3283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117219"/>
        <c:crosses val="autoZero"/>
        <c:auto val="1"/>
        <c:lblOffset val="100"/>
        <c:tickLblSkip val="1"/>
        <c:noMultiLvlLbl val="0"/>
      </c:catAx>
      <c:valAx>
        <c:axId val="27117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39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516276.8</c:v>
                </c:pt>
                <c:pt idx="1">
                  <c:v>259193.99999999997</c:v>
                </c:pt>
                <c:pt idx="2">
                  <c:v>14494.2</c:v>
                </c:pt>
                <c:pt idx="3">
                  <c:v>20245.5</c:v>
                </c:pt>
                <c:pt idx="4">
                  <c:v>5629.3</c:v>
                </c:pt>
                <c:pt idx="5">
                  <c:v>139190.49999999997</c:v>
                </c:pt>
                <c:pt idx="6">
                  <c:v>26609.999999999996</c:v>
                </c:pt>
              </c:numCache>
            </c:numRef>
          </c:val>
          <c:shape val="box"/>
        </c:ser>
        <c:shape val="box"/>
        <c:axId val="42728380"/>
        <c:axId val="49011101"/>
      </c:bar3DChart>
      <c:catAx>
        <c:axId val="4272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11101"/>
        <c:crosses val="autoZero"/>
        <c:auto val="1"/>
        <c:lblOffset val="100"/>
        <c:tickLblSkip val="1"/>
        <c:noMultiLvlLbl val="0"/>
      </c:catAx>
      <c:valAx>
        <c:axId val="49011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8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1084941.0999999992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586538.91</c:v>
                </c:pt>
                <c:pt idx="1">
                  <c:v>65125.799999999974</c:v>
                </c:pt>
                <c:pt idx="2">
                  <c:v>21279.299999999996</c:v>
                </c:pt>
                <c:pt idx="3">
                  <c:v>19074.900000000005</c:v>
                </c:pt>
                <c:pt idx="4">
                  <c:v>22</c:v>
                </c:pt>
                <c:pt idx="5">
                  <c:v>577492.4899999999</c:v>
                </c:pt>
              </c:numCache>
            </c:numRef>
          </c:val>
          <c:shape val="box"/>
        </c:ser>
        <c:shape val="box"/>
        <c:axId val="38446726"/>
        <c:axId val="10476215"/>
      </c:bar3D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76215"/>
        <c:crosses val="autoZero"/>
        <c:auto val="1"/>
        <c:lblOffset val="100"/>
        <c:tickLblSkip val="1"/>
        <c:noMultiLvlLbl val="0"/>
      </c:catAx>
      <c:valAx>
        <c:axId val="104762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467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22" sqref="N122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9" t="s">
        <v>112</v>
      </c>
      <c r="B1" s="169"/>
      <c r="C1" s="169"/>
      <c r="D1" s="169"/>
      <c r="E1" s="169"/>
      <c r="F1" s="169"/>
      <c r="G1" s="169"/>
      <c r="H1" s="169"/>
      <c r="I1" s="169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3" t="s">
        <v>40</v>
      </c>
      <c r="B3" s="176" t="s">
        <v>109</v>
      </c>
      <c r="C3" s="170" t="s">
        <v>106</v>
      </c>
      <c r="D3" s="170" t="s">
        <v>22</v>
      </c>
      <c r="E3" s="170" t="s">
        <v>21</v>
      </c>
      <c r="F3" s="170" t="s">
        <v>110</v>
      </c>
      <c r="G3" s="170" t="s">
        <v>107</v>
      </c>
      <c r="H3" s="170" t="s">
        <v>111</v>
      </c>
      <c r="I3" s="170" t="s">
        <v>108</v>
      </c>
    </row>
    <row r="4" spans="1:9" ht="24.75" customHeight="1">
      <c r="A4" s="174"/>
      <c r="B4" s="177"/>
      <c r="C4" s="171"/>
      <c r="D4" s="171"/>
      <c r="E4" s="171"/>
      <c r="F4" s="171"/>
      <c r="G4" s="171"/>
      <c r="H4" s="171"/>
      <c r="I4" s="171"/>
    </row>
    <row r="5" spans="1:10" ht="39" customHeight="1" thickBot="1">
      <c r="A5" s="175"/>
      <c r="B5" s="178"/>
      <c r="C5" s="172"/>
      <c r="D5" s="172"/>
      <c r="E5" s="172"/>
      <c r="F5" s="172"/>
      <c r="G5" s="172"/>
      <c r="H5" s="172"/>
      <c r="I5" s="172"/>
      <c r="J5" s="91"/>
    </row>
    <row r="6" spans="1:11" ht="18.75" thickBot="1">
      <c r="A6" s="20" t="s">
        <v>26</v>
      </c>
      <c r="B6" s="37">
        <v>548666.3</v>
      </c>
      <c r="C6" s="38">
        <f>826775+13431.5+510-13431.5+16-2334+20.8</f>
        <v>824987.8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</f>
        <v>516276.8</v>
      </c>
      <c r="E6" s="3">
        <f>D6/D154*100</f>
        <v>40.66665752945137</v>
      </c>
      <c r="F6" s="3">
        <f>D6/B6*100</f>
        <v>94.09668499778462</v>
      </c>
      <c r="G6" s="3">
        <f aca="true" t="shared" si="0" ref="G6:G43">D6/C6*100</f>
        <v>62.57993148504741</v>
      </c>
      <c r="H6" s="39">
        <f>B6-D6</f>
        <v>32389.50000000006</v>
      </c>
      <c r="I6" s="39">
        <f aca="true" t="shared" si="1" ref="I6:I43">C6-D6</f>
        <v>308711.00000000006</v>
      </c>
      <c r="J6" s="164"/>
      <c r="K6" s="151"/>
    </row>
    <row r="7" spans="1:12" s="92" customFormat="1" ht="18.75">
      <c r="A7" s="138" t="s">
        <v>81</v>
      </c>
      <c r="B7" s="139">
        <v>181800.7</v>
      </c>
      <c r="C7" s="140">
        <v>262517.6</v>
      </c>
      <c r="D7" s="141">
        <f>8282.7+10875.2+9132.6+9963.6+4.3+9215.1+9968.6+9459.9+11450.4+9572.3+23759.4-0.1+3644+36528.9+8511.9+179.9+764+816.4+0.1+3426.1+9016.3</f>
        <v>174571.59999999998</v>
      </c>
      <c r="E7" s="142">
        <f>D7/D6*100</f>
        <v>33.8135666758607</v>
      </c>
      <c r="F7" s="142">
        <f>D7/B7*100</f>
        <v>96.02361267035823</v>
      </c>
      <c r="G7" s="142">
        <f>D7/C7*100</f>
        <v>66.49900806650678</v>
      </c>
      <c r="H7" s="141">
        <f>B7-D7</f>
        <v>7229.100000000035</v>
      </c>
      <c r="I7" s="141">
        <f t="shared" si="1"/>
        <v>87946</v>
      </c>
      <c r="J7" s="166"/>
      <c r="K7" s="151"/>
      <c r="L7" s="137"/>
    </row>
    <row r="8" spans="1:12" s="91" customFormat="1" ht="18">
      <c r="A8" s="100" t="s">
        <v>3</v>
      </c>
      <c r="B8" s="124">
        <f>440014.4+155.1</f>
        <v>440169.5</v>
      </c>
      <c r="C8" s="125">
        <f>649221.9+8415.5-2000</f>
        <v>655637.4</v>
      </c>
      <c r="D8" s="10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</f>
        <v>423163.2000000002</v>
      </c>
      <c r="E8" s="104">
        <f>D8/D6*100</f>
        <v>81.96440359125187</v>
      </c>
      <c r="F8" s="104">
        <f>D8/B8*100</f>
        <v>96.136420174501</v>
      </c>
      <c r="G8" s="104">
        <f t="shared" si="0"/>
        <v>64.54226070690906</v>
      </c>
      <c r="H8" s="102">
        <f>B8-D8</f>
        <v>17006.299999999814</v>
      </c>
      <c r="I8" s="102">
        <f t="shared" si="1"/>
        <v>232474.19999999984</v>
      </c>
      <c r="J8" s="164"/>
      <c r="K8" s="151"/>
      <c r="L8" s="137"/>
    </row>
    <row r="9" spans="1:12" s="91" customFormat="1" ht="18">
      <c r="A9" s="100" t="s">
        <v>2</v>
      </c>
      <c r="B9" s="124">
        <v>30.8</v>
      </c>
      <c r="C9" s="125">
        <v>97.7</v>
      </c>
      <c r="D9" s="102">
        <f>3.4+5.4+0.8+4.1+3.6+0.3+0.3+3.4</f>
        <v>21.3</v>
      </c>
      <c r="E9" s="126">
        <f>D9/D6*100</f>
        <v>0.004125693813861092</v>
      </c>
      <c r="F9" s="104">
        <f>D9/B9*100</f>
        <v>69.15584415584416</v>
      </c>
      <c r="G9" s="104">
        <f t="shared" si="0"/>
        <v>21.8014329580348</v>
      </c>
      <c r="H9" s="102">
        <f aca="true" t="shared" si="2" ref="H9:H43">B9-D9</f>
        <v>9.5</v>
      </c>
      <c r="I9" s="102">
        <f t="shared" si="1"/>
        <v>76.4</v>
      </c>
      <c r="J9" s="164"/>
      <c r="K9" s="151"/>
      <c r="L9" s="137"/>
    </row>
    <row r="10" spans="1:12" s="91" customFormat="1" ht="18">
      <c r="A10" s="100" t="s">
        <v>1</v>
      </c>
      <c r="B10" s="124">
        <f>27212.5-155.1</f>
        <v>27057.4</v>
      </c>
      <c r="C10" s="125">
        <f>52816.3-8415.5-19.2</f>
        <v>44381.600000000006</v>
      </c>
      <c r="D10" s="14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</f>
        <v>20268.3</v>
      </c>
      <c r="E10" s="104">
        <f>D10/D6*100</f>
        <v>3.925859151524919</v>
      </c>
      <c r="F10" s="104">
        <f aca="true" t="shared" si="3" ref="F10:F41">D10/B10*100</f>
        <v>74.90852779646234</v>
      </c>
      <c r="G10" s="104">
        <f t="shared" si="0"/>
        <v>45.66824990536618</v>
      </c>
      <c r="H10" s="102">
        <f t="shared" si="2"/>
        <v>6789.100000000002</v>
      </c>
      <c r="I10" s="102">
        <f t="shared" si="1"/>
        <v>24113.300000000007</v>
      </c>
      <c r="J10" s="164"/>
      <c r="K10" s="151"/>
      <c r="L10" s="137"/>
    </row>
    <row r="11" spans="1:12" s="91" customFormat="1" ht="18">
      <c r="A11" s="100" t="s">
        <v>0</v>
      </c>
      <c r="B11" s="124">
        <v>53836.4</v>
      </c>
      <c r="C11" s="125">
        <v>88172.4</v>
      </c>
      <c r="D11" s="14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</f>
        <v>52587.79999999999</v>
      </c>
      <c r="E11" s="104">
        <f>D11/D6*100</f>
        <v>10.185970006787056</v>
      </c>
      <c r="F11" s="104">
        <f t="shared" si="3"/>
        <v>97.68075131323786</v>
      </c>
      <c r="G11" s="104">
        <f t="shared" si="0"/>
        <v>59.64201949816494</v>
      </c>
      <c r="H11" s="102">
        <f t="shared" si="2"/>
        <v>1248.600000000013</v>
      </c>
      <c r="I11" s="102">
        <f t="shared" si="1"/>
        <v>35584.600000000006</v>
      </c>
      <c r="J11" s="164"/>
      <c r="K11" s="151"/>
      <c r="L11" s="137"/>
    </row>
    <row r="12" spans="1:12" s="91" customFormat="1" ht="18">
      <c r="A12" s="100" t="s">
        <v>14</v>
      </c>
      <c r="B12" s="124">
        <v>8087.4</v>
      </c>
      <c r="C12" s="125">
        <v>12738</v>
      </c>
      <c r="D12" s="102">
        <f>874.5+251.8+346.3+159.7+538.5+10.6+57+168.9+31.7+165.3+10.6+439.5+199.1+10.6+10.6+19+325.9+10.6+160.6+453.5-0.1+21.1+21.1+563.9+19+160.9+282.3+19+21.1+523.5+168.9+208.4+214.2+11+120.2+238.1+77.3+88.4+143.6+33.1+97.5+90.7+11+91.4+97.6+10.6+295.3+0.5</f>
        <v>7873.9</v>
      </c>
      <c r="E12" s="104">
        <f>D12/D6*100</f>
        <v>1.5251314798573168</v>
      </c>
      <c r="F12" s="104">
        <f t="shared" si="3"/>
        <v>97.36009100576204</v>
      </c>
      <c r="G12" s="104">
        <f t="shared" si="0"/>
        <v>61.814256555189196</v>
      </c>
      <c r="H12" s="102">
        <f>B12-D12</f>
        <v>213.5</v>
      </c>
      <c r="I12" s="102">
        <f t="shared" si="1"/>
        <v>4864.1</v>
      </c>
      <c r="J12" s="164"/>
      <c r="K12" s="151"/>
      <c r="L12" s="137"/>
    </row>
    <row r="13" spans="1:12" s="91" customFormat="1" ht="18.75" thickBot="1">
      <c r="A13" s="100" t="s">
        <v>27</v>
      </c>
      <c r="B13" s="125">
        <f>B6-B8-B9-B10-B11-B12</f>
        <v>19484.800000000032</v>
      </c>
      <c r="C13" s="125">
        <f>C6-C8-C9-C10-C11-C12</f>
        <v>23960.70000000001</v>
      </c>
      <c r="D13" s="125">
        <f>D6-D8-D9-D10-D11-D12</f>
        <v>12362.299999999808</v>
      </c>
      <c r="E13" s="104">
        <f>D13/D6*100</f>
        <v>2.394510076764985</v>
      </c>
      <c r="F13" s="104">
        <f t="shared" si="3"/>
        <v>63.44586549515411</v>
      </c>
      <c r="G13" s="104">
        <f t="shared" si="0"/>
        <v>51.594068620698906</v>
      </c>
      <c r="H13" s="102">
        <f t="shared" si="2"/>
        <v>7122.500000000224</v>
      </c>
      <c r="I13" s="102">
        <f t="shared" si="1"/>
        <v>11598.400000000203</v>
      </c>
      <c r="J13" s="164"/>
      <c r="K13" s="151"/>
      <c r="L13" s="137"/>
    </row>
    <row r="14" spans="1:13" s="32" customFormat="1" ht="18.75" customHeight="1" hidden="1">
      <c r="A14" s="72" t="s">
        <v>61</v>
      </c>
      <c r="B14" s="70"/>
      <c r="C14" s="70"/>
      <c r="D14" s="70"/>
      <c r="E14" s="71"/>
      <c r="F14" s="71" t="e">
        <f>D14/B14*100</f>
        <v>#DIV/0!</v>
      </c>
      <c r="G14" s="71" t="e">
        <f>D14/C14*100</f>
        <v>#DIV/0!</v>
      </c>
      <c r="H14" s="77">
        <f>B14-D14</f>
        <v>0</v>
      </c>
      <c r="I14" s="77">
        <f>C14-D14</f>
        <v>0</v>
      </c>
      <c r="J14" s="166"/>
      <c r="K14" s="11"/>
      <c r="L14" s="11"/>
      <c r="M14" s="11"/>
    </row>
    <row r="15" spans="1:13" s="32" customFormat="1" ht="18.75" customHeight="1" hidden="1">
      <c r="A15" s="72" t="s">
        <v>58</v>
      </c>
      <c r="B15" s="70"/>
      <c r="C15" s="70"/>
      <c r="D15" s="70"/>
      <c r="E15" s="71"/>
      <c r="F15" s="71" t="e">
        <f>D15/B15*100</f>
        <v>#DIV/0!</v>
      </c>
      <c r="G15" s="71" t="e">
        <f>D15/C15*100</f>
        <v>#DIV/0!</v>
      </c>
      <c r="H15" s="77">
        <f>B15-D15</f>
        <v>0</v>
      </c>
      <c r="I15" s="77">
        <f>C15-D15</f>
        <v>0</v>
      </c>
      <c r="J15" s="166"/>
      <c r="K15" s="11"/>
      <c r="L15" s="11"/>
      <c r="M15" s="11"/>
    </row>
    <row r="16" spans="1:13" s="32" customFormat="1" ht="19.5" hidden="1" thickBot="1">
      <c r="A16" s="72" t="s">
        <v>59</v>
      </c>
      <c r="B16" s="70"/>
      <c r="C16" s="70"/>
      <c r="D16" s="70"/>
      <c r="E16" s="71"/>
      <c r="F16" s="71" t="e">
        <f>D16/B16*100</f>
        <v>#DIV/0!</v>
      </c>
      <c r="G16" s="71" t="e">
        <f>D16/C16*100</f>
        <v>#DIV/0!</v>
      </c>
      <c r="H16" s="77">
        <f>B16-D16</f>
        <v>0</v>
      </c>
      <c r="I16" s="77">
        <f>C16-D16</f>
        <v>0</v>
      </c>
      <c r="J16" s="166"/>
      <c r="K16" s="11"/>
      <c r="L16" s="11"/>
      <c r="M16" s="11"/>
    </row>
    <row r="17" spans="1:13" s="32" customFormat="1" ht="19.5" hidden="1" thickBot="1">
      <c r="A17" s="72" t="s">
        <v>60</v>
      </c>
      <c r="B17" s="70"/>
      <c r="C17" s="70"/>
      <c r="D17" s="70"/>
      <c r="E17" s="71"/>
      <c r="F17" s="71" t="e">
        <f>D17/B17*100</f>
        <v>#DIV/0!</v>
      </c>
      <c r="G17" s="71" t="e">
        <f>D17/C17*100</f>
        <v>#DIV/0!</v>
      </c>
      <c r="H17" s="77">
        <f>B17-D17</f>
        <v>0</v>
      </c>
      <c r="I17" s="77">
        <f>C17-D17</f>
        <v>0</v>
      </c>
      <c r="J17" s="166"/>
      <c r="K17" s="11"/>
      <c r="L17" s="11"/>
      <c r="M17" s="11"/>
    </row>
    <row r="18" spans="1:11" ht="18.75" thickBot="1">
      <c r="A18" s="20" t="s">
        <v>19</v>
      </c>
      <c r="B18" s="37">
        <v>271713.4</v>
      </c>
      <c r="C18" s="38">
        <f>424151.5+750.3+185.6</f>
        <v>425087.39999999997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</f>
        <v>259193.99999999997</v>
      </c>
      <c r="E18" s="3">
        <f>D18/D154*100</f>
        <v>20.41647742391023</v>
      </c>
      <c r="F18" s="3">
        <f>D18/B18*100</f>
        <v>95.39242451789272</v>
      </c>
      <c r="G18" s="3">
        <f t="shared" si="0"/>
        <v>60.97428434717189</v>
      </c>
      <c r="H18" s="39">
        <f>B18-D18</f>
        <v>12519.400000000052</v>
      </c>
      <c r="I18" s="39">
        <f t="shared" si="1"/>
        <v>165893.4</v>
      </c>
      <c r="J18" s="164"/>
      <c r="K18" s="151"/>
    </row>
    <row r="19" spans="1:13" s="92" customFormat="1" ht="18.75">
      <c r="A19" s="138" t="s">
        <v>82</v>
      </c>
      <c r="B19" s="139">
        <v>164342.7</v>
      </c>
      <c r="C19" s="140">
        <f>226186+750.3+185.6</f>
        <v>227121.9</v>
      </c>
      <c r="D19" s="14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</f>
        <v>164074.80000000005</v>
      </c>
      <c r="E19" s="142">
        <f>D19/D18*100</f>
        <v>63.301928285376995</v>
      </c>
      <c r="F19" s="142">
        <f t="shared" si="3"/>
        <v>99.83698697903833</v>
      </c>
      <c r="G19" s="142">
        <f t="shared" si="0"/>
        <v>72.24085392029569</v>
      </c>
      <c r="H19" s="141">
        <f t="shared" si="2"/>
        <v>267.8999999999651</v>
      </c>
      <c r="I19" s="141">
        <f t="shared" si="1"/>
        <v>63047.09999999995</v>
      </c>
      <c r="J19" s="166"/>
      <c r="K19" s="151"/>
      <c r="L19" s="91"/>
      <c r="M19" s="91"/>
    </row>
    <row r="20" spans="1:11" s="91" customFormat="1" ht="18" hidden="1">
      <c r="A20" s="100" t="s">
        <v>5</v>
      </c>
      <c r="B20" s="124"/>
      <c r="C20" s="125"/>
      <c r="D20" s="102"/>
      <c r="E20" s="104">
        <f>D20/D18*100</f>
        <v>0</v>
      </c>
      <c r="F20" s="104" t="e">
        <f t="shared" si="3"/>
        <v>#DIV/0!</v>
      </c>
      <c r="G20" s="104" t="e">
        <f t="shared" si="0"/>
        <v>#DIV/0!</v>
      </c>
      <c r="H20" s="102">
        <f t="shared" si="2"/>
        <v>0</v>
      </c>
      <c r="I20" s="102">
        <f t="shared" si="1"/>
        <v>0</v>
      </c>
      <c r="J20" s="164"/>
      <c r="K20" s="151">
        <f>C20-B20</f>
        <v>0</v>
      </c>
    </row>
    <row r="21" spans="1:11" s="91" customFormat="1" ht="18" hidden="1">
      <c r="A21" s="100" t="s">
        <v>2</v>
      </c>
      <c r="B21" s="124"/>
      <c r="C21" s="125"/>
      <c r="D21" s="102"/>
      <c r="E21" s="104">
        <f>D21/D18*100</f>
        <v>0</v>
      </c>
      <c r="F21" s="104" t="e">
        <f t="shared" si="3"/>
        <v>#DIV/0!</v>
      </c>
      <c r="G21" s="104" t="e">
        <f t="shared" si="0"/>
        <v>#DIV/0!</v>
      </c>
      <c r="H21" s="102">
        <f t="shared" si="2"/>
        <v>0</v>
      </c>
      <c r="I21" s="102">
        <f t="shared" si="1"/>
        <v>0</v>
      </c>
      <c r="J21" s="164"/>
      <c r="K21" s="151">
        <f>C21-B21</f>
        <v>0</v>
      </c>
    </row>
    <row r="22" spans="1:11" s="91" customFormat="1" ht="18" hidden="1">
      <c r="A22" s="100" t="s">
        <v>1</v>
      </c>
      <c r="B22" s="124"/>
      <c r="C22" s="125"/>
      <c r="D22" s="102"/>
      <c r="E22" s="104">
        <f>D22/D18*100</f>
        <v>0</v>
      </c>
      <c r="F22" s="104" t="e">
        <f t="shared" si="3"/>
        <v>#DIV/0!</v>
      </c>
      <c r="G22" s="104" t="e">
        <f t="shared" si="0"/>
        <v>#DIV/0!</v>
      </c>
      <c r="H22" s="102">
        <f t="shared" si="2"/>
        <v>0</v>
      </c>
      <c r="I22" s="102">
        <f t="shared" si="1"/>
        <v>0</v>
      </c>
      <c r="J22" s="164"/>
      <c r="K22" s="151">
        <f>C22-B22</f>
        <v>0</v>
      </c>
    </row>
    <row r="23" spans="1:11" s="91" customFormat="1" ht="18" hidden="1">
      <c r="A23" s="100" t="s">
        <v>0</v>
      </c>
      <c r="B23" s="124"/>
      <c r="C23" s="125"/>
      <c r="D23" s="102"/>
      <c r="E23" s="104">
        <f>D23/D18*100</f>
        <v>0</v>
      </c>
      <c r="F23" s="104" t="e">
        <f t="shared" si="3"/>
        <v>#DIV/0!</v>
      </c>
      <c r="G23" s="104" t="e">
        <f t="shared" si="0"/>
        <v>#DIV/0!</v>
      </c>
      <c r="H23" s="102">
        <f t="shared" si="2"/>
        <v>0</v>
      </c>
      <c r="I23" s="102">
        <f t="shared" si="1"/>
        <v>0</v>
      </c>
      <c r="J23" s="164"/>
      <c r="K23" s="151">
        <f>C23-B23</f>
        <v>0</v>
      </c>
    </row>
    <row r="24" spans="1:11" s="91" customFormat="1" ht="18" hidden="1">
      <c r="A24" s="100" t="s">
        <v>14</v>
      </c>
      <c r="B24" s="124"/>
      <c r="C24" s="125"/>
      <c r="D24" s="102"/>
      <c r="E24" s="104">
        <f>D24/D18*100</f>
        <v>0</v>
      </c>
      <c r="F24" s="104" t="e">
        <f t="shared" si="3"/>
        <v>#DIV/0!</v>
      </c>
      <c r="G24" s="104" t="e">
        <f t="shared" si="0"/>
        <v>#DIV/0!</v>
      </c>
      <c r="H24" s="102">
        <f t="shared" si="2"/>
        <v>0</v>
      </c>
      <c r="I24" s="102">
        <f t="shared" si="1"/>
        <v>0</v>
      </c>
      <c r="J24" s="164"/>
      <c r="K24" s="151">
        <f>C24-B24</f>
        <v>0</v>
      </c>
    </row>
    <row r="25" spans="1:11" s="91" customFormat="1" ht="18.75" thickBot="1">
      <c r="A25" s="100" t="s">
        <v>27</v>
      </c>
      <c r="B25" s="125">
        <f>B18</f>
        <v>271713.4</v>
      </c>
      <c r="C25" s="125">
        <f>C18</f>
        <v>425087.39999999997</v>
      </c>
      <c r="D25" s="125">
        <f>D18</f>
        <v>259193.99999999997</v>
      </c>
      <c r="E25" s="104">
        <f>D25/D18*100</f>
        <v>100</v>
      </c>
      <c r="F25" s="104">
        <f t="shared" si="3"/>
        <v>95.39242451789272</v>
      </c>
      <c r="G25" s="104">
        <f t="shared" si="0"/>
        <v>60.97428434717189</v>
      </c>
      <c r="H25" s="102">
        <f t="shared" si="2"/>
        <v>12519.400000000052</v>
      </c>
      <c r="I25" s="102">
        <f t="shared" si="1"/>
        <v>165893.4</v>
      </c>
      <c r="J25" s="164"/>
      <c r="K25" s="151"/>
    </row>
    <row r="26" spans="1:11" ht="57" hidden="1" thickBot="1">
      <c r="A26" s="72" t="s">
        <v>69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164"/>
      <c r="K26" s="151">
        <f aca="true" t="shared" si="4" ref="K26:K32">C26-B26</f>
        <v>0</v>
      </c>
    </row>
    <row r="27" spans="1:11" ht="36.75" customHeight="1" hidden="1">
      <c r="A27" s="72" t="s">
        <v>70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164"/>
      <c r="K27" s="151">
        <f t="shared" si="4"/>
        <v>0</v>
      </c>
    </row>
    <row r="28" spans="1:11" ht="19.5" hidden="1" thickBot="1">
      <c r="A28" s="72" t="s">
        <v>71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164"/>
      <c r="K28" s="151">
        <f t="shared" si="4"/>
        <v>0</v>
      </c>
    </row>
    <row r="29" spans="1:11" ht="39.75" customHeight="1" hidden="1">
      <c r="A29" s="72" t="s">
        <v>72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164"/>
      <c r="K29" s="151">
        <f t="shared" si="4"/>
        <v>0</v>
      </c>
    </row>
    <row r="30" spans="1:11" ht="37.5" customHeight="1" hidden="1">
      <c r="A30" s="72" t="s">
        <v>73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164"/>
      <c r="K30" s="151">
        <f t="shared" si="4"/>
        <v>0</v>
      </c>
    </row>
    <row r="31" spans="1:11" ht="36" customHeight="1" hidden="1">
      <c r="A31" s="72" t="s">
        <v>74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164"/>
      <c r="K31" s="151">
        <f t="shared" si="4"/>
        <v>0</v>
      </c>
    </row>
    <row r="32" spans="1:11" ht="19.5" hidden="1" thickBot="1">
      <c r="A32" s="72" t="s">
        <v>75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164"/>
      <c r="K32" s="151">
        <f t="shared" si="4"/>
        <v>0</v>
      </c>
    </row>
    <row r="33" spans="1:11" ht="18.75" thickBot="1">
      <c r="A33" s="20" t="s">
        <v>17</v>
      </c>
      <c r="B33" s="37">
        <v>15996.6</v>
      </c>
      <c r="C33" s="38">
        <f>24805.1-17.2</f>
        <v>24787.899999999998</v>
      </c>
      <c r="D33" s="41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</f>
        <v>14494.2</v>
      </c>
      <c r="E33" s="3">
        <f>D33/D154*100</f>
        <v>1.1416950511109045</v>
      </c>
      <c r="F33" s="3">
        <f>D33/B33*100</f>
        <v>90.6080042008927</v>
      </c>
      <c r="G33" s="3">
        <f t="shared" si="0"/>
        <v>58.47288394740984</v>
      </c>
      <c r="H33" s="39">
        <f t="shared" si="2"/>
        <v>1502.3999999999996</v>
      </c>
      <c r="I33" s="39">
        <f t="shared" si="1"/>
        <v>10293.699999999997</v>
      </c>
      <c r="J33" s="167"/>
      <c r="K33" s="151"/>
    </row>
    <row r="34" spans="1:11" s="91" customFormat="1" ht="18">
      <c r="A34" s="100" t="s">
        <v>3</v>
      </c>
      <c r="B34" s="124">
        <v>8702.6</v>
      </c>
      <c r="C34" s="125">
        <v>12906.6</v>
      </c>
      <c r="D34" s="102">
        <f>364.6+548.1+389.3+522.2+63+395+556.7+63+391.3+512.8+63+394.6+664.3+89.8+0.3+456.7+632.3+12+89.8+485+19+3.6+623.1+89.8+9.9+419.4+475.8</f>
        <v>8334.400000000001</v>
      </c>
      <c r="E34" s="104">
        <f>D34/D33*100</f>
        <v>57.50162133819045</v>
      </c>
      <c r="F34" s="104">
        <f t="shared" si="3"/>
        <v>95.76908050467678</v>
      </c>
      <c r="G34" s="104">
        <f t="shared" si="0"/>
        <v>64.57471371236423</v>
      </c>
      <c r="H34" s="102">
        <f t="shared" si="2"/>
        <v>368.1999999999989</v>
      </c>
      <c r="I34" s="102">
        <f t="shared" si="1"/>
        <v>4572.199999999999</v>
      </c>
      <c r="J34" s="164"/>
      <c r="K34" s="151"/>
    </row>
    <row r="35" spans="1:11" s="91" customFormat="1" ht="18">
      <c r="A35" s="100" t="s">
        <v>1</v>
      </c>
      <c r="B35" s="124">
        <v>59.646</v>
      </c>
      <c r="C35" s="125">
        <v>81.1</v>
      </c>
      <c r="D35" s="102">
        <f>6.8+8.7+11.6+32.5</f>
        <v>59.6</v>
      </c>
      <c r="E35" s="104">
        <f>D35/D33*100</f>
        <v>0.41119896234355807</v>
      </c>
      <c r="F35" s="104">
        <f t="shared" si="3"/>
        <v>99.92287831539416</v>
      </c>
      <c r="G35" s="104">
        <f t="shared" si="0"/>
        <v>73.48951911220716</v>
      </c>
      <c r="H35" s="102">
        <f t="shared" si="2"/>
        <v>0.045999999999999375</v>
      </c>
      <c r="I35" s="102">
        <f t="shared" si="1"/>
        <v>21.499999999999993</v>
      </c>
      <c r="J35" s="164"/>
      <c r="K35" s="151"/>
    </row>
    <row r="36" spans="1:11" s="91" customFormat="1" ht="18">
      <c r="A36" s="100" t="s">
        <v>0</v>
      </c>
      <c r="B36" s="124">
        <v>1055.7</v>
      </c>
      <c r="C36" s="125">
        <v>1783</v>
      </c>
      <c r="D36" s="102">
        <f>0.3+11.3+141.7+12.6+0.9+12.9+1.3+0.5+169.4+1.1+0.1+0.4+11.3+166.1+3.8+5.1+2.9+0.2+0.5+11.9+319.9+44.3+12.2+0.9-0.2+8.4+29.5+8.6+0.2+7.6+0.4+4.3+0.1+0.3+7.8+4.8+0.2+5.5</f>
        <v>1009.0999999999998</v>
      </c>
      <c r="E36" s="104">
        <f>D36/D33*100</f>
        <v>6.962095182900745</v>
      </c>
      <c r="F36" s="104">
        <f t="shared" si="3"/>
        <v>95.58586719712036</v>
      </c>
      <c r="G36" s="104">
        <f t="shared" si="0"/>
        <v>56.5956253505328</v>
      </c>
      <c r="H36" s="102">
        <f t="shared" si="2"/>
        <v>46.60000000000025</v>
      </c>
      <c r="I36" s="102">
        <f t="shared" si="1"/>
        <v>773.9000000000002</v>
      </c>
      <c r="J36" s="164"/>
      <c r="K36" s="151"/>
    </row>
    <row r="37" spans="1:12" s="92" customFormat="1" ht="18.75">
      <c r="A37" s="115" t="s">
        <v>7</v>
      </c>
      <c r="B37" s="135">
        <v>536.5</v>
      </c>
      <c r="C37" s="136">
        <v>1008</v>
      </c>
      <c r="D37" s="106">
        <f>44.8+25.1+1.6+0.5+2.7+1+6.3+8.5+2.5+36.6+1.5+4.5+23.6+4.1+106.1+32.6+9.7+2.5+4.3+1.9+2.2+5.9+0.2+124.8+6.7</f>
        <v>460.19999999999993</v>
      </c>
      <c r="E37" s="110">
        <f>D37/D33*100</f>
        <v>3.175063128699755</v>
      </c>
      <c r="F37" s="110">
        <f t="shared" si="3"/>
        <v>85.77819198508853</v>
      </c>
      <c r="G37" s="110">
        <f t="shared" si="0"/>
        <v>45.6547619047619</v>
      </c>
      <c r="H37" s="106">
        <f t="shared" si="2"/>
        <v>76.30000000000007</v>
      </c>
      <c r="I37" s="106">
        <f t="shared" si="1"/>
        <v>547.8000000000001</v>
      </c>
      <c r="J37" s="166"/>
      <c r="K37" s="151"/>
      <c r="L37" s="137"/>
    </row>
    <row r="38" spans="1:11" s="91" customFormat="1" ht="18">
      <c r="A38" s="100" t="s">
        <v>14</v>
      </c>
      <c r="B38" s="124">
        <v>34.2</v>
      </c>
      <c r="C38" s="125">
        <f>80.8+8.7</f>
        <v>89.5</v>
      </c>
      <c r="D38" s="125">
        <f>5.1+5.1+5.1+5.1+5.1+8.7</f>
        <v>34.2</v>
      </c>
      <c r="E38" s="104">
        <f>D38/D33*100</f>
        <v>0.2359564515461357</v>
      </c>
      <c r="F38" s="104">
        <f t="shared" si="3"/>
        <v>100</v>
      </c>
      <c r="G38" s="104">
        <f t="shared" si="0"/>
        <v>38.2122905027933</v>
      </c>
      <c r="H38" s="102">
        <f t="shared" si="2"/>
        <v>0</v>
      </c>
      <c r="I38" s="102">
        <f t="shared" si="1"/>
        <v>55.3</v>
      </c>
      <c r="J38" s="164"/>
      <c r="K38" s="151"/>
    </row>
    <row r="39" spans="1:11" s="91" customFormat="1" ht="18.75" thickBot="1">
      <c r="A39" s="100" t="s">
        <v>27</v>
      </c>
      <c r="B39" s="124">
        <f>B33-B34-B36-B37-B35-B38</f>
        <v>5607.954000000001</v>
      </c>
      <c r="C39" s="124">
        <f>C33-C34-C36-C37-C35-C38</f>
        <v>8919.699999999997</v>
      </c>
      <c r="D39" s="124">
        <f>D33-D34-D36-D37-D35-D38</f>
        <v>4596.7</v>
      </c>
      <c r="E39" s="104">
        <f>D39/D33*100</f>
        <v>31.714064936319353</v>
      </c>
      <c r="F39" s="104">
        <f t="shared" si="3"/>
        <v>81.96750543959524</v>
      </c>
      <c r="G39" s="104">
        <f t="shared" si="0"/>
        <v>51.53424442526096</v>
      </c>
      <c r="H39" s="102">
        <f>B39-D39</f>
        <v>1011.2540000000008</v>
      </c>
      <c r="I39" s="102">
        <f t="shared" si="1"/>
        <v>4322.999999999997</v>
      </c>
      <c r="J39" s="164"/>
      <c r="K39" s="151"/>
    </row>
    <row r="40" spans="1:11" ht="19.5" hidden="1" thickBot="1">
      <c r="A40" s="72" t="s">
        <v>66</v>
      </c>
      <c r="B40" s="73"/>
      <c r="C40" s="73"/>
      <c r="D40" s="73"/>
      <c r="E40" s="71"/>
      <c r="F40" s="71" t="e">
        <f t="shared" si="3"/>
        <v>#DIV/0!</v>
      </c>
      <c r="G40" s="71" t="e">
        <f t="shared" si="0"/>
        <v>#DIV/0!</v>
      </c>
      <c r="H40" s="77">
        <f>B40-D40</f>
        <v>0</v>
      </c>
      <c r="I40" s="77">
        <f t="shared" si="1"/>
        <v>0</v>
      </c>
      <c r="J40" s="164"/>
      <c r="K40" s="151">
        <f>C40-B40</f>
        <v>0</v>
      </c>
    </row>
    <row r="41" spans="1:11" ht="19.5" hidden="1" thickBot="1">
      <c r="A41" s="72" t="s">
        <v>67</v>
      </c>
      <c r="B41" s="73"/>
      <c r="C41" s="73"/>
      <c r="D41" s="73"/>
      <c r="E41" s="71"/>
      <c r="F41" s="71" t="e">
        <f t="shared" si="3"/>
        <v>#DIV/0!</v>
      </c>
      <c r="G41" s="71" t="e">
        <f t="shared" si="0"/>
        <v>#DIV/0!</v>
      </c>
      <c r="H41" s="77">
        <f>B41-D41</f>
        <v>0</v>
      </c>
      <c r="I41" s="77">
        <f t="shared" si="1"/>
        <v>0</v>
      </c>
      <c r="J41" s="164"/>
      <c r="K41" s="151">
        <f>C41-B41</f>
        <v>0</v>
      </c>
    </row>
    <row r="42" spans="1:11" ht="19.5" hidden="1" thickBot="1">
      <c r="A42" s="72" t="s">
        <v>68</v>
      </c>
      <c r="B42" s="73"/>
      <c r="C42" s="73"/>
      <c r="D42" s="73"/>
      <c r="E42" s="71"/>
      <c r="F42" s="71"/>
      <c r="G42" s="71" t="e">
        <f t="shared" si="0"/>
        <v>#DIV/0!</v>
      </c>
      <c r="H42" s="77">
        <f>B42-D42</f>
        <v>0</v>
      </c>
      <c r="I42" s="77">
        <f t="shared" si="1"/>
        <v>0</v>
      </c>
      <c r="J42" s="164"/>
      <c r="K42" s="151">
        <f>C42-B42</f>
        <v>0</v>
      </c>
    </row>
    <row r="43" spans="1:11" ht="19.5" thickBot="1">
      <c r="A43" s="12" t="s">
        <v>16</v>
      </c>
      <c r="B43" s="74">
        <v>1342.7</v>
      </c>
      <c r="C43" s="38">
        <f>1126.9+467</f>
        <v>1593.9</v>
      </c>
      <c r="D43" s="39">
        <f>63.9+1.1+0.6+70.8+0.5+48+6.7+2+13.7+10.4+20.2+0.7+37.4+27+181.7+0.2+2.1+7.5+10+0.2+3.3+24.2+12.6+1.5</f>
        <v>546.3</v>
      </c>
      <c r="E43" s="3">
        <f>D43/D154*100</f>
        <v>0.043031557893632416</v>
      </c>
      <c r="F43" s="3">
        <f>D43/B43*100</f>
        <v>40.68667610039472</v>
      </c>
      <c r="G43" s="3">
        <f t="shared" si="0"/>
        <v>34.27442123094296</v>
      </c>
      <c r="H43" s="39">
        <f t="shared" si="2"/>
        <v>796.4000000000001</v>
      </c>
      <c r="I43" s="39">
        <f t="shared" si="1"/>
        <v>1047.6000000000001</v>
      </c>
      <c r="J43" s="164"/>
      <c r="K43" s="151"/>
    </row>
    <row r="44" spans="1:11" ht="12" customHeight="1" thickBot="1">
      <c r="A44" s="23"/>
      <c r="B44" s="45"/>
      <c r="C44" s="46"/>
      <c r="D44" s="47"/>
      <c r="E44" s="7"/>
      <c r="F44" s="7"/>
      <c r="G44" s="7"/>
      <c r="H44" s="47"/>
      <c r="I44" s="47"/>
      <c r="J44" s="164"/>
      <c r="K44" s="151"/>
    </row>
    <row r="45" spans="1:11" ht="18.75" thickBot="1">
      <c r="A45" s="20" t="s">
        <v>44</v>
      </c>
      <c r="B45" s="37">
        <v>9036</v>
      </c>
      <c r="C45" s="38">
        <v>13576.3</v>
      </c>
      <c r="D45" s="39">
        <f>237.1+562.8+52.3+349.2+679.9+375.9+891+78.3+327.4+13.5+670.2+386.5+179.9+781.7-0.1+25.5+366.5+16.5+692.2+3.8+389.3+707.6+15.1+379.9+4.5+611.9</f>
        <v>8798.4</v>
      </c>
      <c r="E45" s="3">
        <f>D45/D154*100</f>
        <v>0.693042026306673</v>
      </c>
      <c r="F45" s="3">
        <f>D45/B45*100</f>
        <v>97.37051792828684</v>
      </c>
      <c r="G45" s="3">
        <f aca="true" t="shared" si="5" ref="G45:G76">D45/C45*100</f>
        <v>64.80705346817615</v>
      </c>
      <c r="H45" s="39">
        <f>B45-D45</f>
        <v>237.60000000000036</v>
      </c>
      <c r="I45" s="39">
        <f aca="true" t="shared" si="6" ref="I45:I77">C45-D45</f>
        <v>4777.9</v>
      </c>
      <c r="J45" s="164"/>
      <c r="K45" s="151"/>
    </row>
    <row r="46" spans="1:11" s="91" customFormat="1" ht="18">
      <c r="A46" s="100" t="s">
        <v>3</v>
      </c>
      <c r="B46" s="124">
        <v>8180.6</v>
      </c>
      <c r="C46" s="125">
        <v>12256.4</v>
      </c>
      <c r="D46" s="102">
        <f>237.1+551.8+334.1+652.5+314.7+746.1+319.2+661.7+342.8+781.7+0.2-0.1+366.5+692.2+367.7+697.1+14.1+359.1+599.6</f>
        <v>8038.1</v>
      </c>
      <c r="E46" s="104">
        <f>D46/D45*100</f>
        <v>91.35865611929442</v>
      </c>
      <c r="F46" s="104">
        <f aca="true" t="shared" si="7" ref="F46:F74">D46/B46*100</f>
        <v>98.25807397990367</v>
      </c>
      <c r="G46" s="104">
        <f t="shared" si="5"/>
        <v>65.58287914885284</v>
      </c>
      <c r="H46" s="102">
        <f aca="true" t="shared" si="8" ref="H46:H74">B46-D46</f>
        <v>142.5</v>
      </c>
      <c r="I46" s="102">
        <f t="shared" si="6"/>
        <v>4218.299999999999</v>
      </c>
      <c r="J46" s="164"/>
      <c r="K46" s="151"/>
    </row>
    <row r="47" spans="1:11" s="91" customFormat="1" ht="18">
      <c r="A47" s="100" t="s">
        <v>2</v>
      </c>
      <c r="B47" s="124">
        <v>0.758</v>
      </c>
      <c r="C47" s="125">
        <v>1.5</v>
      </c>
      <c r="D47" s="102">
        <f>0.7</f>
        <v>0.7</v>
      </c>
      <c r="E47" s="104">
        <f>D47/D45*100</f>
        <v>0.00795599199854519</v>
      </c>
      <c r="F47" s="104">
        <f t="shared" si="7"/>
        <v>92.34828496042215</v>
      </c>
      <c r="G47" s="104">
        <f t="shared" si="5"/>
        <v>46.666666666666664</v>
      </c>
      <c r="H47" s="102">
        <f t="shared" si="8"/>
        <v>0.05800000000000005</v>
      </c>
      <c r="I47" s="102">
        <f t="shared" si="6"/>
        <v>0.8</v>
      </c>
      <c r="J47" s="164"/>
      <c r="K47" s="151"/>
    </row>
    <row r="48" spans="1:11" s="91" customFormat="1" ht="18">
      <c r="A48" s="100" t="s">
        <v>1</v>
      </c>
      <c r="B48" s="124">
        <v>58.56</v>
      </c>
      <c r="C48" s="125">
        <v>98.9</v>
      </c>
      <c r="D48" s="102">
        <f>5.7+6.1+6.5+7.7+8.4+7+0.1</f>
        <v>41.5</v>
      </c>
      <c r="E48" s="104">
        <f>D48/D45*100</f>
        <v>0.47167666848517914</v>
      </c>
      <c r="F48" s="104">
        <f t="shared" si="7"/>
        <v>70.86748633879782</v>
      </c>
      <c r="G48" s="104">
        <f t="shared" si="5"/>
        <v>41.96157735085945</v>
      </c>
      <c r="H48" s="102">
        <f t="shared" si="8"/>
        <v>17.060000000000002</v>
      </c>
      <c r="I48" s="102">
        <f t="shared" si="6"/>
        <v>57.400000000000006</v>
      </c>
      <c r="J48" s="164"/>
      <c r="K48" s="151"/>
    </row>
    <row r="49" spans="1:11" s="91" customFormat="1" ht="18">
      <c r="A49" s="100" t="s">
        <v>0</v>
      </c>
      <c r="B49" s="124">
        <v>575.3</v>
      </c>
      <c r="C49" s="125">
        <v>879.8</v>
      </c>
      <c r="D49" s="102">
        <f>7.3+51.9+12.7-0.1+54.5+131.2+49.5+2.4+7.9+11.2+178.3+0.4+4.1+0.1+0.6+1.4+0.5+0.8+4.5+4.5</f>
        <v>523.6999999999999</v>
      </c>
      <c r="E49" s="104">
        <f>D49/D45*100</f>
        <v>5.952218585197308</v>
      </c>
      <c r="F49" s="104">
        <f t="shared" si="7"/>
        <v>91.03076655657917</v>
      </c>
      <c r="G49" s="104">
        <f t="shared" si="5"/>
        <v>59.524892020913846</v>
      </c>
      <c r="H49" s="102">
        <f t="shared" si="8"/>
        <v>51.60000000000002</v>
      </c>
      <c r="I49" s="102">
        <f t="shared" si="6"/>
        <v>356.1</v>
      </c>
      <c r="J49" s="164"/>
      <c r="K49" s="151"/>
    </row>
    <row r="50" spans="1:11" s="91" customFormat="1" ht="18.75" thickBot="1">
      <c r="A50" s="100" t="s">
        <v>27</v>
      </c>
      <c r="B50" s="125">
        <f>B45-B46-B49-B48-B47</f>
        <v>220.78199999999967</v>
      </c>
      <c r="C50" s="125">
        <f>C45-C46-C49-C48-C47</f>
        <v>339.6999999999997</v>
      </c>
      <c r="D50" s="125">
        <f>D45-D46-D49-D48-D47</f>
        <v>194.39999999999935</v>
      </c>
      <c r="E50" s="104">
        <f>D50/D45*100</f>
        <v>2.2094926350245427</v>
      </c>
      <c r="F50" s="104">
        <f t="shared" si="7"/>
        <v>88.05065630350283</v>
      </c>
      <c r="G50" s="104">
        <f t="shared" si="5"/>
        <v>57.22696496909023</v>
      </c>
      <c r="H50" s="102">
        <f t="shared" si="8"/>
        <v>26.382000000000318</v>
      </c>
      <c r="I50" s="102">
        <f t="shared" si="6"/>
        <v>145.30000000000035</v>
      </c>
      <c r="J50" s="164"/>
      <c r="K50" s="151"/>
    </row>
    <row r="51" spans="1:11" ht="18.75" thickBot="1">
      <c r="A51" s="20" t="s">
        <v>4</v>
      </c>
      <c r="B51" s="37">
        <v>24788.4</v>
      </c>
      <c r="C51" s="38">
        <f>37135.4+450-426</f>
        <v>37159.4</v>
      </c>
      <c r="D51" s="39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</f>
        <v>20245.5</v>
      </c>
      <c r="E51" s="3">
        <f>D51/D154*100</f>
        <v>1.5947197608192114</v>
      </c>
      <c r="F51" s="3">
        <f>D51/B51*100</f>
        <v>81.6732826644721</v>
      </c>
      <c r="G51" s="3">
        <f t="shared" si="5"/>
        <v>54.482849561618316</v>
      </c>
      <c r="H51" s="39">
        <f>B51-D51</f>
        <v>4542.9000000000015</v>
      </c>
      <c r="I51" s="39">
        <f t="shared" si="6"/>
        <v>16913.9</v>
      </c>
      <c r="J51" s="164"/>
      <c r="K51" s="151"/>
    </row>
    <row r="52" spans="1:11" s="91" customFormat="1" ht="18">
      <c r="A52" s="100" t="s">
        <v>3</v>
      </c>
      <c r="B52" s="124">
        <v>13345</v>
      </c>
      <c r="C52" s="125">
        <v>20097.4</v>
      </c>
      <c r="D52" s="102">
        <f>632.9+34.3+767.3+737.6+710.6+649.6+792.4+1.6+643.1+825.6+650.1+947+1196.1+785.4+658.1+439+623.6+358.8+550.5</f>
        <v>12003.6</v>
      </c>
      <c r="E52" s="104">
        <f>D52/D51*100</f>
        <v>59.2902126398459</v>
      </c>
      <c r="F52" s="104">
        <f t="shared" si="7"/>
        <v>89.94829524166354</v>
      </c>
      <c r="G52" s="104">
        <f t="shared" si="5"/>
        <v>59.72712888234298</v>
      </c>
      <c r="H52" s="102">
        <f t="shared" si="8"/>
        <v>1341.3999999999996</v>
      </c>
      <c r="I52" s="102">
        <f t="shared" si="6"/>
        <v>8093.800000000001</v>
      </c>
      <c r="J52" s="164"/>
      <c r="K52" s="151"/>
    </row>
    <row r="53" spans="1:11" s="91" customFormat="1" ht="18">
      <c r="A53" s="100" t="s">
        <v>2</v>
      </c>
      <c r="B53" s="124">
        <v>1.4</v>
      </c>
      <c r="C53" s="125">
        <v>13.9</v>
      </c>
      <c r="D53" s="102"/>
      <c r="E53" s="104">
        <f>D53/D51*100</f>
        <v>0</v>
      </c>
      <c r="F53" s="104">
        <f>D53/B53*100</f>
        <v>0</v>
      </c>
      <c r="G53" s="104">
        <f t="shared" si="5"/>
        <v>0</v>
      </c>
      <c r="H53" s="102">
        <f t="shared" si="8"/>
        <v>1.4</v>
      </c>
      <c r="I53" s="102">
        <f t="shared" si="6"/>
        <v>13.9</v>
      </c>
      <c r="J53" s="164"/>
      <c r="K53" s="151"/>
    </row>
    <row r="54" spans="1:11" s="91" customFormat="1" ht="18">
      <c r="A54" s="100" t="s">
        <v>1</v>
      </c>
      <c r="B54" s="124">
        <v>626.2</v>
      </c>
      <c r="C54" s="125">
        <v>993.6</v>
      </c>
      <c r="D54" s="102">
        <f>0.2+4.2+9+4.7+9.6+6.3+43.2+2.7+18.4+3.8+23.8+5.3+12.2+43.2+26.7+3.8+22.4+0.4+59.7+30.3+3.3+19.2+7+2.9+21+4.4-0.4+4.8+2.2+3.6+32.5+6.4+7.8+23.5+0.7+4.2+10.2+2.2+1.8+2+15.6+1.8+2.2+4.1+5.9</f>
        <v>518.8</v>
      </c>
      <c r="E54" s="104">
        <f>D54/D51*100</f>
        <v>2.5625447630337606</v>
      </c>
      <c r="F54" s="104">
        <f t="shared" si="7"/>
        <v>82.84893005429575</v>
      </c>
      <c r="G54" s="104">
        <f t="shared" si="5"/>
        <v>52.21417069243156</v>
      </c>
      <c r="H54" s="102">
        <f t="shared" si="8"/>
        <v>107.40000000000009</v>
      </c>
      <c r="I54" s="102">
        <f t="shared" si="6"/>
        <v>474.80000000000007</v>
      </c>
      <c r="J54" s="164"/>
      <c r="K54" s="151"/>
    </row>
    <row r="55" spans="1:11" s="91" customFormat="1" ht="18">
      <c r="A55" s="100" t="s">
        <v>0</v>
      </c>
      <c r="B55" s="124">
        <v>669.5</v>
      </c>
      <c r="C55" s="125">
        <v>1219.9</v>
      </c>
      <c r="D55" s="102">
        <f>0.5+1+2.8+12.3+8.3+0.5+0.4+8.7+15+0.3+1.3+64.9+33.6+8.1+0.1+94.7+0.3+9.8+7.8+0.9+1.8+16.2+18.3+3.3+0.1+11.4+0.1+11.4+1.3+76.9+6.2+11.6+2.1+2.4+24+0.1+0.5+16.3+2.5+1.1+3.8+2.1+10.3+5.8+0.4+0.3+0.3+9.3+0.2+0.6+1.1-0.2+0.5+0.1+1+9.6</f>
        <v>524.1000000000001</v>
      </c>
      <c r="E55" s="104">
        <f>D55/D51*100</f>
        <v>2.588723420019264</v>
      </c>
      <c r="F55" s="104">
        <f t="shared" si="7"/>
        <v>78.28230022404782</v>
      </c>
      <c r="G55" s="104">
        <f t="shared" si="5"/>
        <v>42.962537912943695</v>
      </c>
      <c r="H55" s="102">
        <f t="shared" si="8"/>
        <v>145.39999999999986</v>
      </c>
      <c r="I55" s="102">
        <f t="shared" si="6"/>
        <v>695.8</v>
      </c>
      <c r="J55" s="164"/>
      <c r="K55" s="151"/>
    </row>
    <row r="56" spans="1:11" s="91" customFormat="1" ht="18">
      <c r="A56" s="100" t="s">
        <v>14</v>
      </c>
      <c r="B56" s="124">
        <v>880</v>
      </c>
      <c r="C56" s="125">
        <v>1320</v>
      </c>
      <c r="D56" s="125">
        <f>110+110+110+110+110+110+110+110</f>
        <v>880</v>
      </c>
      <c r="E56" s="104">
        <f>D56/D51*100</f>
        <v>4.346644933442</v>
      </c>
      <c r="F56" s="104">
        <f>D56/B56*100</f>
        <v>100</v>
      </c>
      <c r="G56" s="104">
        <f>D56/C56*100</f>
        <v>66.66666666666666</v>
      </c>
      <c r="H56" s="102">
        <f t="shared" si="8"/>
        <v>0</v>
      </c>
      <c r="I56" s="102">
        <f t="shared" si="6"/>
        <v>440</v>
      </c>
      <c r="J56" s="164"/>
      <c r="K56" s="151"/>
    </row>
    <row r="57" spans="1:11" s="91" customFormat="1" ht="18.75" thickBot="1">
      <c r="A57" s="100" t="s">
        <v>27</v>
      </c>
      <c r="B57" s="125">
        <f>B51-B52-B55-B54-B53-B56</f>
        <v>9266.300000000001</v>
      </c>
      <c r="C57" s="125">
        <f>C51-C52-C55-C54-C53-C56</f>
        <v>13514.6</v>
      </c>
      <c r="D57" s="125">
        <f>D51-D52-D55-D54-D53-D56</f>
        <v>6318.999999999999</v>
      </c>
      <c r="E57" s="104">
        <f>D57/D51*100</f>
        <v>31.211874243659082</v>
      </c>
      <c r="F57" s="104">
        <f t="shared" si="7"/>
        <v>68.19334577986898</v>
      </c>
      <c r="G57" s="104">
        <f t="shared" si="5"/>
        <v>46.75684075000369</v>
      </c>
      <c r="H57" s="102">
        <f>B57-D57</f>
        <v>2947.300000000002</v>
      </c>
      <c r="I57" s="102">
        <f>C57-D57</f>
        <v>7195.600000000001</v>
      </c>
      <c r="J57" s="164"/>
      <c r="K57" s="151"/>
    </row>
    <row r="58" spans="1:11" s="32" customFormat="1" ht="19.5" hidden="1" thickBot="1">
      <c r="A58" s="72" t="s">
        <v>65</v>
      </c>
      <c r="B58" s="70"/>
      <c r="C58" s="70"/>
      <c r="D58" s="70"/>
      <c r="E58" s="1"/>
      <c r="F58" s="71" t="e">
        <f t="shared" si="7"/>
        <v>#DIV/0!</v>
      </c>
      <c r="G58" s="71" t="e">
        <f t="shared" si="5"/>
        <v>#DIV/0!</v>
      </c>
      <c r="H58" s="77">
        <f t="shared" si="8"/>
        <v>0</v>
      </c>
      <c r="I58" s="77">
        <f>C58-D58</f>
        <v>0</v>
      </c>
      <c r="J58" s="166"/>
      <c r="K58" s="151">
        <f>C58-B58</f>
        <v>0</v>
      </c>
    </row>
    <row r="59" spans="1:11" ht="18.75" thickBot="1">
      <c r="A59" s="20" t="s">
        <v>6</v>
      </c>
      <c r="B59" s="37">
        <v>8243.8</v>
      </c>
      <c r="C59" s="38">
        <f>9264.2+300+32.4</f>
        <v>9596.6</v>
      </c>
      <c r="D59" s="39">
        <f>87.7+79.1+87.8+43.2+40.5+47.6+13+155.9+18+2.1+84.2+29.6+0.7+0.5+5.7+85.8+109.2+19+38.3+85.7+1.2+4.7+89.8+79.1+0.4+114.1+2.5+187.7+22+17.7+67.3-3+41+50.9+0.1+2.6+120+203+53.7+50+85.8+1.8+136+93.7+2.7+167.9+8.7+0.1+42.3+44.8+283.5+103.6+69.1+2.5+643.4+654+1151</f>
        <v>5629.3</v>
      </c>
      <c r="E59" s="3">
        <f>D59/D154*100</f>
        <v>0.44341487982907746</v>
      </c>
      <c r="F59" s="3">
        <f>D59/B59*100</f>
        <v>68.285256799049</v>
      </c>
      <c r="G59" s="3">
        <f t="shared" si="5"/>
        <v>58.659316841381326</v>
      </c>
      <c r="H59" s="39">
        <f>B59-D59</f>
        <v>2614.499999999999</v>
      </c>
      <c r="I59" s="39">
        <f t="shared" si="6"/>
        <v>3967.3</v>
      </c>
      <c r="J59" s="164"/>
      <c r="K59" s="151"/>
    </row>
    <row r="60" spans="1:11" s="91" customFormat="1" ht="18">
      <c r="A60" s="100" t="s">
        <v>3</v>
      </c>
      <c r="B60" s="124">
        <v>2094.4</v>
      </c>
      <c r="C60" s="125">
        <v>3119.7</v>
      </c>
      <c r="D60" s="102">
        <f>77.7+79.1+76.9+40.5+47.3+155.9+45+29.2+85.8+95.3+38.3+30.7+89.8+79.1+80.7+178.9+50.9+35.4+119.2+73+83.9+167.9+42.3+43+65+68.5</f>
        <v>1979.3000000000004</v>
      </c>
      <c r="E60" s="104">
        <f>D60/D59*100</f>
        <v>35.16067717122911</v>
      </c>
      <c r="F60" s="104">
        <f t="shared" si="7"/>
        <v>94.50439266615739</v>
      </c>
      <c r="G60" s="104">
        <f t="shared" si="5"/>
        <v>63.44520306439724</v>
      </c>
      <c r="H60" s="102">
        <f t="shared" si="8"/>
        <v>115.09999999999968</v>
      </c>
      <c r="I60" s="102">
        <f t="shared" si="6"/>
        <v>1140.3999999999994</v>
      </c>
      <c r="J60" s="164"/>
      <c r="K60" s="151"/>
    </row>
    <row r="61" spans="1:11" s="91" customFormat="1" ht="18">
      <c r="A61" s="100" t="s">
        <v>1</v>
      </c>
      <c r="B61" s="124">
        <v>393.1</v>
      </c>
      <c r="C61" s="125">
        <f>360.7+32.4</f>
        <v>393.09999999999997</v>
      </c>
      <c r="D61" s="102">
        <f>127+93.7+101.3+69.1</f>
        <v>391.1</v>
      </c>
      <c r="E61" s="104">
        <f>D61/D59*100</f>
        <v>6.94757785159789</v>
      </c>
      <c r="F61" s="104">
        <f>D61/B61*100</f>
        <v>99.49122360722463</v>
      </c>
      <c r="G61" s="104">
        <f t="shared" si="5"/>
        <v>99.49122360722464</v>
      </c>
      <c r="H61" s="102">
        <f t="shared" si="8"/>
        <v>2</v>
      </c>
      <c r="I61" s="102">
        <f t="shared" si="6"/>
        <v>1.9999999999999432</v>
      </c>
      <c r="J61" s="164"/>
      <c r="K61" s="151"/>
    </row>
    <row r="62" spans="1:11" s="91" customFormat="1" ht="18">
      <c r="A62" s="100" t="s">
        <v>0</v>
      </c>
      <c r="B62" s="124">
        <v>245.6</v>
      </c>
      <c r="C62" s="125">
        <v>393.7</v>
      </c>
      <c r="D62" s="102">
        <f>10.9+43.2+13-3+39.2+5.7+50.2+3.5+0.2+29.7+2.5+1.8+22+0.1+0.7+2.1+0.1+0.1+2.2+0.1+0.1+2.1+1.2</f>
        <v>227.6999999999999</v>
      </c>
      <c r="E62" s="104">
        <f>D62/D59*100</f>
        <v>4.044907892633185</v>
      </c>
      <c r="F62" s="104">
        <f t="shared" si="7"/>
        <v>92.71172638436478</v>
      </c>
      <c r="G62" s="104">
        <f t="shared" si="5"/>
        <v>57.835915671831316</v>
      </c>
      <c r="H62" s="102">
        <f t="shared" si="8"/>
        <v>17.90000000000009</v>
      </c>
      <c r="I62" s="102">
        <f t="shared" si="6"/>
        <v>166.00000000000009</v>
      </c>
      <c r="J62" s="164"/>
      <c r="K62" s="151"/>
    </row>
    <row r="63" spans="1:11" s="91" customFormat="1" ht="18">
      <c r="A63" s="100" t="s">
        <v>14</v>
      </c>
      <c r="B63" s="124">
        <v>4866.6</v>
      </c>
      <c r="C63" s="125">
        <v>4866.6</v>
      </c>
      <c r="D63" s="102">
        <f>136+283.5+578.4+584+1151</f>
        <v>2732.9</v>
      </c>
      <c r="E63" s="104">
        <f>D63/D59*100</f>
        <v>48.547776810615886</v>
      </c>
      <c r="F63" s="104">
        <f t="shared" si="7"/>
        <v>56.156248715735835</v>
      </c>
      <c r="G63" s="104">
        <f t="shared" si="5"/>
        <v>56.156248715735835</v>
      </c>
      <c r="H63" s="102">
        <f t="shared" si="8"/>
        <v>2133.7000000000003</v>
      </c>
      <c r="I63" s="102">
        <f t="shared" si="6"/>
        <v>2133.7000000000003</v>
      </c>
      <c r="J63" s="164"/>
      <c r="K63" s="151"/>
    </row>
    <row r="64" spans="1:11" s="91" customFormat="1" ht="18.75" thickBot="1">
      <c r="A64" s="100" t="s">
        <v>27</v>
      </c>
      <c r="B64" s="125">
        <f>B59-B60-B62-B63-B61</f>
        <v>644.0999999999989</v>
      </c>
      <c r="C64" s="125">
        <f>C59-C60-C62-C63-C61</f>
        <v>823.5000000000005</v>
      </c>
      <c r="D64" s="125">
        <f>D59-D60-D62-D63-D61</f>
        <v>298.30000000000007</v>
      </c>
      <c r="E64" s="104">
        <f>D64/D59*100</f>
        <v>5.299060273923935</v>
      </c>
      <c r="F64" s="104">
        <f t="shared" si="7"/>
        <v>46.312684365781806</v>
      </c>
      <c r="G64" s="104">
        <f t="shared" si="5"/>
        <v>36.22343655130539</v>
      </c>
      <c r="H64" s="102">
        <f t="shared" si="8"/>
        <v>345.7999999999988</v>
      </c>
      <c r="I64" s="102">
        <f t="shared" si="6"/>
        <v>525.2000000000004</v>
      </c>
      <c r="J64" s="164"/>
      <c r="K64" s="151"/>
    </row>
    <row r="65" spans="1:11" s="32" customFormat="1" ht="19.5" hidden="1" thickBot="1">
      <c r="A65" s="72" t="s">
        <v>76</v>
      </c>
      <c r="B65" s="70"/>
      <c r="C65" s="70"/>
      <c r="D65" s="70"/>
      <c r="E65" s="71"/>
      <c r="F65" s="71" t="e">
        <f>D65/B65*100</f>
        <v>#DIV/0!</v>
      </c>
      <c r="G65" s="71" t="e">
        <f>D65/C65*100</f>
        <v>#DIV/0!</v>
      </c>
      <c r="H65" s="77">
        <f t="shared" si="8"/>
        <v>0</v>
      </c>
      <c r="I65" s="77">
        <f t="shared" si="6"/>
        <v>0</v>
      </c>
      <c r="J65" s="166"/>
      <c r="K65" s="151">
        <f>C65-B65</f>
        <v>0</v>
      </c>
    </row>
    <row r="66" spans="1:11" s="32" customFormat="1" ht="19.5" hidden="1" thickBot="1">
      <c r="A66" s="72" t="s">
        <v>62</v>
      </c>
      <c r="B66" s="70"/>
      <c r="C66" s="70"/>
      <c r="D66" s="70"/>
      <c r="E66" s="71"/>
      <c r="F66" s="71" t="e">
        <f t="shared" si="7"/>
        <v>#DIV/0!</v>
      </c>
      <c r="G66" s="71" t="e">
        <f t="shared" si="5"/>
        <v>#DIV/0!</v>
      </c>
      <c r="H66" s="77">
        <f t="shared" si="8"/>
        <v>0</v>
      </c>
      <c r="I66" s="77">
        <f t="shared" si="6"/>
        <v>0</v>
      </c>
      <c r="J66" s="166"/>
      <c r="K66" s="151">
        <f>C66-B66</f>
        <v>0</v>
      </c>
    </row>
    <row r="67" spans="1:11" s="32" customFormat="1" ht="19.5" hidden="1" thickBot="1">
      <c r="A67" s="72" t="s">
        <v>63</v>
      </c>
      <c r="B67" s="70"/>
      <c r="C67" s="70"/>
      <c r="D67" s="70"/>
      <c r="E67" s="71"/>
      <c r="F67" s="71" t="e">
        <f t="shared" si="7"/>
        <v>#DIV/0!</v>
      </c>
      <c r="G67" s="71" t="e">
        <f t="shared" si="5"/>
        <v>#DIV/0!</v>
      </c>
      <c r="H67" s="77">
        <f t="shared" si="8"/>
        <v>0</v>
      </c>
      <c r="I67" s="77">
        <f t="shared" si="6"/>
        <v>0</v>
      </c>
      <c r="J67" s="166"/>
      <c r="K67" s="151">
        <f>C67-B67</f>
        <v>0</v>
      </c>
    </row>
    <row r="68" spans="1:11" s="32" customFormat="1" ht="19.5" hidden="1" thickBot="1">
      <c r="A68" s="72" t="s">
        <v>64</v>
      </c>
      <c r="B68" s="70"/>
      <c r="C68" s="70"/>
      <c r="D68" s="70"/>
      <c r="E68" s="71"/>
      <c r="F68" s="71" t="e">
        <f t="shared" si="7"/>
        <v>#DIV/0!</v>
      </c>
      <c r="G68" s="71" t="e">
        <f t="shared" si="5"/>
        <v>#DIV/0!</v>
      </c>
      <c r="H68" s="77">
        <f t="shared" si="8"/>
        <v>0</v>
      </c>
      <c r="I68" s="77">
        <f t="shared" si="6"/>
        <v>0</v>
      </c>
      <c r="J68" s="166"/>
      <c r="K68" s="151">
        <f>C68-B68</f>
        <v>0</v>
      </c>
    </row>
    <row r="69" spans="1:11" ht="18.75" thickBot="1">
      <c r="A69" s="20" t="s">
        <v>20</v>
      </c>
      <c r="B69" s="38">
        <f>B70+B71</f>
        <v>355.20000000000005</v>
      </c>
      <c r="C69" s="38">
        <f>C70+C71</f>
        <v>438.9</v>
      </c>
      <c r="D69" s="39">
        <f>D70+D71</f>
        <v>227</v>
      </c>
      <c r="E69" s="30">
        <f>D69/D154*100</f>
        <v>0.017880585103156797</v>
      </c>
      <c r="F69" s="3">
        <f>D69/B69*100</f>
        <v>63.907657657657644</v>
      </c>
      <c r="G69" s="3">
        <f t="shared" si="5"/>
        <v>51.720209614946455</v>
      </c>
      <c r="H69" s="39">
        <f>B69-D69</f>
        <v>128.20000000000005</v>
      </c>
      <c r="I69" s="39">
        <f t="shared" si="6"/>
        <v>211.89999999999998</v>
      </c>
      <c r="J69" s="164"/>
      <c r="K69" s="151"/>
    </row>
    <row r="70" spans="1:11" s="91" customFormat="1" ht="18">
      <c r="A70" s="100" t="s">
        <v>8</v>
      </c>
      <c r="B70" s="124">
        <f>256.1+36-12-53.1</f>
        <v>227.00000000000003</v>
      </c>
      <c r="C70" s="125">
        <f>292.7-53.1-12</f>
        <v>227.6</v>
      </c>
      <c r="D70" s="102">
        <f>169.5+50+6+1.5</f>
        <v>227</v>
      </c>
      <c r="E70" s="104">
        <f>D70/D69*100</f>
        <v>100</v>
      </c>
      <c r="F70" s="104">
        <f t="shared" si="7"/>
        <v>99.99999999999999</v>
      </c>
      <c r="G70" s="104">
        <f t="shared" si="5"/>
        <v>99.73637961335677</v>
      </c>
      <c r="H70" s="102">
        <f t="shared" si="8"/>
        <v>0</v>
      </c>
      <c r="I70" s="102">
        <f t="shared" si="6"/>
        <v>0.5999999999999943</v>
      </c>
      <c r="J70" s="164"/>
      <c r="K70" s="151"/>
    </row>
    <row r="71" spans="1:11" s="91" customFormat="1" ht="18.75" thickBot="1">
      <c r="A71" s="100" t="s">
        <v>9</v>
      </c>
      <c r="B71" s="124">
        <v>128.2</v>
      </c>
      <c r="C71" s="125">
        <f>293.1-30-14-37.9+0.1</f>
        <v>211.3</v>
      </c>
      <c r="D71" s="102">
        <v>0</v>
      </c>
      <c r="E71" s="104">
        <f>D71/D70*100</f>
        <v>0</v>
      </c>
      <c r="F71" s="104">
        <f t="shared" si="7"/>
        <v>0</v>
      </c>
      <c r="G71" s="104">
        <f t="shared" si="5"/>
        <v>0</v>
      </c>
      <c r="H71" s="102">
        <f t="shared" si="8"/>
        <v>128.2</v>
      </c>
      <c r="I71" s="102">
        <f t="shared" si="6"/>
        <v>211.3</v>
      </c>
      <c r="J71" s="164"/>
      <c r="K71" s="151"/>
    </row>
    <row r="72" spans="1:11" ht="38.25" hidden="1" thickBot="1">
      <c r="A72" s="12" t="s">
        <v>41</v>
      </c>
      <c r="B72" s="44"/>
      <c r="C72" s="38">
        <f>C73+C74+C75+C76</f>
        <v>0</v>
      </c>
      <c r="D72" s="38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164"/>
      <c r="K72" s="151"/>
    </row>
    <row r="73" spans="1:11" ht="18.75" hidden="1">
      <c r="A73" s="16" t="s">
        <v>45</v>
      </c>
      <c r="B73" s="42"/>
      <c r="C73" s="48"/>
      <c r="D73" s="40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164"/>
      <c r="K73" s="151"/>
    </row>
    <row r="74" spans="1:11" ht="18.75" hidden="1">
      <c r="A74" s="16" t="s">
        <v>46</v>
      </c>
      <c r="B74" s="42"/>
      <c r="C74" s="48"/>
      <c r="D74" s="40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164"/>
      <c r="K74" s="151"/>
    </row>
    <row r="75" spans="1:11" ht="18.75" hidden="1">
      <c r="A75" s="22" t="s">
        <v>34</v>
      </c>
      <c r="B75" s="49"/>
      <c r="C75" s="50"/>
      <c r="D75" s="51"/>
      <c r="E75" s="27" t="e">
        <f>D75/D72*100</f>
        <v>#DIV/0!</v>
      </c>
      <c r="F75" s="27"/>
      <c r="G75" s="1" t="e">
        <f t="shared" si="5"/>
        <v>#DIV/0!</v>
      </c>
      <c r="H75" s="36"/>
      <c r="I75" s="36">
        <f t="shared" si="6"/>
        <v>0</v>
      </c>
      <c r="J75" s="164"/>
      <c r="K75" s="151"/>
    </row>
    <row r="76" spans="1:11" ht="19.5" hidden="1" thickBot="1">
      <c r="A76" s="22" t="s">
        <v>42</v>
      </c>
      <c r="B76" s="49"/>
      <c r="C76" s="50"/>
      <c r="D76" s="51"/>
      <c r="E76" s="27" t="e">
        <f>D76/D72*100</f>
        <v>#DIV/0!</v>
      </c>
      <c r="F76" s="27"/>
      <c r="G76" s="1" t="e">
        <f t="shared" si="5"/>
        <v>#DIV/0!</v>
      </c>
      <c r="H76" s="36"/>
      <c r="I76" s="36">
        <f t="shared" si="6"/>
        <v>0</v>
      </c>
      <c r="J76" s="164"/>
      <c r="K76" s="151"/>
    </row>
    <row r="77" spans="1:11" s="32" customFormat="1" ht="19.5" thickBot="1">
      <c r="A77" s="23" t="s">
        <v>13</v>
      </c>
      <c r="B77" s="45">
        <v>0</v>
      </c>
      <c r="C77" s="52">
        <f>17000-13500-1000</f>
        <v>2500</v>
      </c>
      <c r="D77" s="53"/>
      <c r="E77" s="33"/>
      <c r="F77" s="33"/>
      <c r="G77" s="33"/>
      <c r="H77" s="53">
        <f>B77-D77</f>
        <v>0</v>
      </c>
      <c r="I77" s="53">
        <f t="shared" si="6"/>
        <v>2500</v>
      </c>
      <c r="J77" s="166"/>
      <c r="K77" s="151"/>
    </row>
    <row r="78" spans="1:11" ht="8.25" customHeight="1" thickBot="1">
      <c r="A78" s="16"/>
      <c r="B78" s="42"/>
      <c r="C78" s="50"/>
      <c r="D78" s="51"/>
      <c r="E78" s="6"/>
      <c r="F78" s="6"/>
      <c r="G78" s="6"/>
      <c r="H78" s="51"/>
      <c r="I78" s="84"/>
      <c r="J78" s="164"/>
      <c r="K78" s="151"/>
    </row>
    <row r="79" spans="1:11" ht="18.75" customHeight="1" hidden="1" thickBot="1">
      <c r="A79" s="12" t="s">
        <v>56</v>
      </c>
      <c r="B79" s="44"/>
      <c r="C79" s="38"/>
      <c r="D79" s="38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164"/>
      <c r="K79" s="151"/>
    </row>
    <row r="80" spans="1:11" s="8" customFormat="1" ht="18" hidden="1">
      <c r="A80" s="9" t="s">
        <v>55</v>
      </c>
      <c r="B80" s="54"/>
      <c r="C80" s="35"/>
      <c r="D80" s="36"/>
      <c r="E80" s="69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68"/>
      <c r="K80" s="151"/>
    </row>
    <row r="81" spans="1:11" s="8" customFormat="1" ht="30.75" hidden="1">
      <c r="A81" s="9" t="s">
        <v>53</v>
      </c>
      <c r="B81" s="54"/>
      <c r="C81" s="35"/>
      <c r="D81" s="36"/>
      <c r="E81" s="69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68"/>
      <c r="K81" s="151"/>
    </row>
    <row r="82" spans="1:11" s="8" customFormat="1" ht="16.5" customHeight="1" hidden="1">
      <c r="A82" s="9" t="s">
        <v>33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68"/>
      <c r="K82" s="151"/>
    </row>
    <row r="83" spans="1:11" s="8" customFormat="1" ht="33" customHeight="1" hidden="1" thickBot="1">
      <c r="A83" s="9" t="s">
        <v>39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68"/>
      <c r="K83" s="151"/>
    </row>
    <row r="84" spans="1:11" ht="35.25" customHeight="1" hidden="1" thickBot="1">
      <c r="A84" s="12" t="s">
        <v>35</v>
      </c>
      <c r="B84" s="44"/>
      <c r="C84" s="38"/>
      <c r="D84" s="38"/>
      <c r="E84" s="3">
        <f>D84/D154*100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164"/>
      <c r="K84" s="151"/>
    </row>
    <row r="85" spans="1:11" ht="16.5" customHeight="1" hidden="1">
      <c r="A85" s="21" t="s">
        <v>23</v>
      </c>
      <c r="B85" s="34"/>
      <c r="C85" s="50"/>
      <c r="D85" s="50"/>
      <c r="E85" s="6" t="e">
        <f>D85/D84*100</f>
        <v>#DIV/0!</v>
      </c>
      <c r="F85" s="6"/>
      <c r="G85" s="6" t="e">
        <f t="shared" si="9"/>
        <v>#DIV/0!</v>
      </c>
      <c r="H85" s="51"/>
      <c r="I85" s="36">
        <f t="shared" si="10"/>
        <v>0</v>
      </c>
      <c r="J85" s="164"/>
      <c r="K85" s="151"/>
    </row>
    <row r="86" spans="1:11" ht="16.5" customHeight="1" hidden="1" thickBot="1">
      <c r="A86" s="21" t="s">
        <v>24</v>
      </c>
      <c r="B86" s="34"/>
      <c r="C86" s="50"/>
      <c r="D86" s="50"/>
      <c r="E86" s="6" t="e">
        <f>D86/D84*100</f>
        <v>#DIV/0!</v>
      </c>
      <c r="F86" s="6"/>
      <c r="G86" s="6" t="e">
        <f t="shared" si="9"/>
        <v>#DIV/0!</v>
      </c>
      <c r="H86" s="51"/>
      <c r="I86" s="36">
        <f t="shared" si="10"/>
        <v>0</v>
      </c>
      <c r="J86" s="164"/>
      <c r="K86" s="151"/>
    </row>
    <row r="87" spans="1:11" ht="34.5" customHeight="1" hidden="1" thickBot="1">
      <c r="A87" s="12" t="s">
        <v>36</v>
      </c>
      <c r="B87" s="44"/>
      <c r="C87" s="38"/>
      <c r="D87" s="38"/>
      <c r="E87" s="3">
        <f>D87/D154*100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164"/>
      <c r="K87" s="151"/>
    </row>
    <row r="88" spans="1:11" ht="17.25" customHeight="1" hidden="1">
      <c r="A88" s="21" t="s">
        <v>23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164"/>
      <c r="K88" s="151"/>
    </row>
    <row r="89" spans="1:11" ht="17.25" customHeight="1" hidden="1" thickBot="1">
      <c r="A89" s="21" t="s">
        <v>24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164"/>
      <c r="K89" s="151"/>
    </row>
    <row r="90" spans="1:11" ht="19.5" thickBot="1">
      <c r="A90" s="12" t="s">
        <v>10</v>
      </c>
      <c r="B90" s="44">
        <f>144524.4+100</f>
        <v>144624.4</v>
      </c>
      <c r="C90" s="38">
        <f>200580.6+2044.4+100+113.7</f>
        <v>202838.7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</f>
        <v>139190.49999999997</v>
      </c>
      <c r="E90" s="3">
        <f>D90/D154*100</f>
        <v>10.96391004758126</v>
      </c>
      <c r="F90" s="3">
        <f aca="true" t="shared" si="11" ref="F90:F96">D90/B90*100</f>
        <v>96.24275018599903</v>
      </c>
      <c r="G90" s="3">
        <f t="shared" si="9"/>
        <v>68.62127394821597</v>
      </c>
      <c r="H90" s="39">
        <f aca="true" t="shared" si="12" ref="H90:H96">B90-D90</f>
        <v>5433.900000000023</v>
      </c>
      <c r="I90" s="39">
        <f t="shared" si="10"/>
        <v>63648.20000000004</v>
      </c>
      <c r="J90" s="164"/>
      <c r="K90" s="151"/>
    </row>
    <row r="91" spans="1:11" s="91" customFormat="1" ht="21.75" customHeight="1">
      <c r="A91" s="100" t="s">
        <v>3</v>
      </c>
      <c r="B91" s="124">
        <f>135454.8+150</f>
        <v>135604.8</v>
      </c>
      <c r="C91" s="125">
        <f>190000-46.7</f>
        <v>189953.3</v>
      </c>
      <c r="D91" s="10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</f>
        <v>131650.31</v>
      </c>
      <c r="E91" s="104">
        <f>D91/D90*100</f>
        <v>94.58282713259887</v>
      </c>
      <c r="F91" s="104">
        <f t="shared" si="11"/>
        <v>97.0838126673982</v>
      </c>
      <c r="G91" s="104">
        <f t="shared" si="9"/>
        <v>69.30667169246337</v>
      </c>
      <c r="H91" s="102">
        <f t="shared" si="12"/>
        <v>3954.4899999999907</v>
      </c>
      <c r="I91" s="102">
        <f t="shared" si="10"/>
        <v>58302.98999999999</v>
      </c>
      <c r="K91" s="151"/>
    </row>
    <row r="92" spans="1:11" s="91" customFormat="1" ht="18">
      <c r="A92" s="100" t="s">
        <v>25</v>
      </c>
      <c r="B92" s="124">
        <v>1732.7</v>
      </c>
      <c r="C92" s="125">
        <v>2776.4</v>
      </c>
      <c r="D92" s="102">
        <f>57.2+3.4+167+1.4+0.3+83.4+86.9+53.1+5.3+4.7+17+71.3+284.2+22.2+4.8+1.6+54.8+7+38.2+1.9+190+51.9+21+0.9+36.9+5.5+20.1+0.9+46.6+43.3-17.3+22+2.1+65.9</f>
        <v>1455.5000000000002</v>
      </c>
      <c r="E92" s="104">
        <f>D92/D90*100</f>
        <v>1.0456891813737292</v>
      </c>
      <c r="F92" s="104">
        <f t="shared" si="11"/>
        <v>84.00184682864894</v>
      </c>
      <c r="G92" s="104">
        <f t="shared" si="9"/>
        <v>52.42400230514336</v>
      </c>
      <c r="H92" s="102">
        <f t="shared" si="12"/>
        <v>277.1999999999998</v>
      </c>
      <c r="I92" s="102">
        <f t="shared" si="10"/>
        <v>1320.8999999999999</v>
      </c>
      <c r="K92" s="151"/>
    </row>
    <row r="93" spans="1:11" s="91" customFormat="1" ht="18" hidden="1">
      <c r="A93" s="100" t="s">
        <v>14</v>
      </c>
      <c r="B93" s="124"/>
      <c r="C93" s="125"/>
      <c r="D93" s="125"/>
      <c r="E93" s="126">
        <f>D93/D90*100</f>
        <v>0</v>
      </c>
      <c r="F93" s="104"/>
      <c r="G93" s="104" t="e">
        <f t="shared" si="9"/>
        <v>#DIV/0!</v>
      </c>
      <c r="H93" s="102">
        <f t="shared" si="12"/>
        <v>0</v>
      </c>
      <c r="I93" s="102">
        <f t="shared" si="10"/>
        <v>0</v>
      </c>
      <c r="K93" s="151">
        <f aca="true" t="shared" si="13" ref="K93:K101">C93-B93</f>
        <v>0</v>
      </c>
    </row>
    <row r="94" spans="1:11" s="91" customFormat="1" ht="18.75" thickBot="1">
      <c r="A94" s="100" t="s">
        <v>27</v>
      </c>
      <c r="B94" s="125">
        <f>B90-B91-B92-B93</f>
        <v>7286.900000000006</v>
      </c>
      <c r="C94" s="125">
        <f>C90-C91-C92-C93</f>
        <v>10109.000000000024</v>
      </c>
      <c r="D94" s="125">
        <f>D90-D91-D92-D93</f>
        <v>6084.689999999973</v>
      </c>
      <c r="E94" s="104">
        <f>D94/D90*100</f>
        <v>4.371483686027404</v>
      </c>
      <c r="F94" s="104">
        <f t="shared" si="11"/>
        <v>83.50176343849878</v>
      </c>
      <c r="G94" s="104">
        <f>D94/C94*100</f>
        <v>60.19082006133109</v>
      </c>
      <c r="H94" s="102">
        <f t="shared" si="12"/>
        <v>1202.2100000000328</v>
      </c>
      <c r="I94" s="102">
        <f>C94-D94</f>
        <v>4024.3100000000504</v>
      </c>
      <c r="K94" s="151"/>
    </row>
    <row r="95" spans="1:11" ht="18.75">
      <c r="A95" s="80" t="s">
        <v>12</v>
      </c>
      <c r="B95" s="89">
        <v>31892.4</v>
      </c>
      <c r="C95" s="83">
        <f>46414.5+100+39.4+1153.5-64.6-244.3</f>
        <v>47398.5</v>
      </c>
      <c r="D95" s="82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</f>
        <v>26609.999999999996</v>
      </c>
      <c r="E95" s="79">
        <f>D95/D154*100</f>
        <v>2.096045681035253</v>
      </c>
      <c r="F95" s="81">
        <f t="shared" si="11"/>
        <v>83.43680626105278</v>
      </c>
      <c r="G95" s="78">
        <f>D95/C95*100</f>
        <v>56.141017120794956</v>
      </c>
      <c r="H95" s="82">
        <f t="shared" si="12"/>
        <v>5282.400000000005</v>
      </c>
      <c r="I95" s="85">
        <f>C95-D95</f>
        <v>20788.500000000004</v>
      </c>
      <c r="J95" s="164"/>
      <c r="K95" s="151"/>
    </row>
    <row r="96" spans="1:11" s="91" customFormat="1" ht="18.75" thickBot="1">
      <c r="A96" s="127" t="s">
        <v>83</v>
      </c>
      <c r="B96" s="128">
        <v>8027</v>
      </c>
      <c r="C96" s="129">
        <v>12814.2</v>
      </c>
      <c r="D96" s="130">
        <f>194.6+1234+3.4+0.5+79.6+1026.4+0.7+86.4+939.3+4.2+87.7+624.7+8+489.4+90.3+1.9+597.9+5.5+67.2+2.1+31.9+0.2+90.5+32.4+530.2+66+90.3+454.6+5.4+212.8+729.6</f>
        <v>7787.699999999998</v>
      </c>
      <c r="E96" s="131">
        <f>D96/D95*100</f>
        <v>29.266065388951517</v>
      </c>
      <c r="F96" s="132">
        <f t="shared" si="11"/>
        <v>97.01881151114985</v>
      </c>
      <c r="G96" s="133">
        <f>D96/C96*100</f>
        <v>60.77398511026828</v>
      </c>
      <c r="H96" s="134">
        <f t="shared" si="12"/>
        <v>239.300000000002</v>
      </c>
      <c r="I96" s="123">
        <f>C96-D96</f>
        <v>5026.500000000003</v>
      </c>
      <c r="J96" s="164"/>
      <c r="K96" s="151"/>
    </row>
    <row r="97" spans="1:11" ht="8.25" customHeight="1" thickBot="1">
      <c r="A97" s="16"/>
      <c r="B97" s="42"/>
      <c r="C97" s="50"/>
      <c r="D97" s="51"/>
      <c r="E97" s="6"/>
      <c r="F97" s="6"/>
      <c r="G97" s="6"/>
      <c r="H97" s="51"/>
      <c r="I97" s="51"/>
      <c r="J97" s="164"/>
      <c r="K97" s="151"/>
    </row>
    <row r="98" spans="1:11" ht="19.5" hidden="1" thickBot="1">
      <c r="A98" s="25" t="s">
        <v>37</v>
      </c>
      <c r="B98" s="58"/>
      <c r="C98" s="59"/>
      <c r="D98" s="60"/>
      <c r="E98" s="3">
        <f>D98/D154*100</f>
        <v>0</v>
      </c>
      <c r="F98" s="3"/>
      <c r="G98" s="3" t="e">
        <f>D98/C98*100</f>
        <v>#DIV/0!</v>
      </c>
      <c r="H98" s="39"/>
      <c r="I98" s="39">
        <f>C98-D98</f>
        <v>0</v>
      </c>
      <c r="J98" s="164"/>
      <c r="K98" s="151">
        <f t="shared" si="13"/>
        <v>0</v>
      </c>
    </row>
    <row r="99" spans="1:11" ht="5.25" customHeight="1" hidden="1" thickBot="1">
      <c r="A99" s="24"/>
      <c r="B99" s="55"/>
      <c r="C99" s="56"/>
      <c r="D99" s="57"/>
      <c r="E99" s="13"/>
      <c r="F99" s="6"/>
      <c r="G99" s="6"/>
      <c r="H99" s="51"/>
      <c r="I99" s="84"/>
      <c r="J99" s="164"/>
      <c r="K99" s="151">
        <f t="shared" si="13"/>
        <v>0</v>
      </c>
    </row>
    <row r="100" spans="1:11" s="14" customFormat="1" ht="36" customHeight="1" hidden="1" thickBot="1">
      <c r="A100" s="12" t="s">
        <v>51</v>
      </c>
      <c r="B100" s="44"/>
      <c r="C100" s="38"/>
      <c r="D100" s="39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65"/>
      <c r="K100" s="151">
        <f t="shared" si="13"/>
        <v>0</v>
      </c>
    </row>
    <row r="101" spans="1:11" ht="6.75" customHeight="1" hidden="1" thickBot="1">
      <c r="A101" s="75"/>
      <c r="B101" s="76"/>
      <c r="C101" s="56"/>
      <c r="D101" s="57"/>
      <c r="E101" s="13"/>
      <c r="F101" s="6"/>
      <c r="G101" s="6"/>
      <c r="H101" s="51"/>
      <c r="I101" s="84"/>
      <c r="J101" s="164"/>
      <c r="K101" s="151">
        <f t="shared" si="13"/>
        <v>0</v>
      </c>
    </row>
    <row r="102" spans="1:11" s="32" customFormat="1" ht="19.5" thickBot="1">
      <c r="A102" s="12" t="s">
        <v>11</v>
      </c>
      <c r="B102" s="88">
        <v>9826.3</v>
      </c>
      <c r="C102" s="68">
        <f>11266.5-91.2+1707.2+14.9+0.2</f>
        <v>12897.6</v>
      </c>
      <c r="D102" s="64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</f>
        <v>8444.999999999998</v>
      </c>
      <c r="E102" s="17">
        <f>D102/D154*100</f>
        <v>0.6652050272958552</v>
      </c>
      <c r="F102" s="17">
        <f>D102/B102*100</f>
        <v>85.94282690331049</v>
      </c>
      <c r="G102" s="17">
        <f aca="true" t="shared" si="14" ref="G102:G152">D102/C102*100</f>
        <v>65.47729810197245</v>
      </c>
      <c r="H102" s="64">
        <f aca="true" t="shared" si="15" ref="H102:H108">B102-D102</f>
        <v>1381.300000000001</v>
      </c>
      <c r="I102" s="64">
        <f aca="true" t="shared" si="16" ref="I102:I152">C102-D102</f>
        <v>4452.600000000002</v>
      </c>
      <c r="J102" s="166"/>
      <c r="K102" s="151"/>
    </row>
    <row r="103" spans="1:11" s="91" customFormat="1" ht="18.75" customHeight="1">
      <c r="A103" s="100" t="s">
        <v>3</v>
      </c>
      <c r="B103" s="116">
        <v>218.3</v>
      </c>
      <c r="C103" s="117">
        <v>363.8</v>
      </c>
      <c r="D103" s="117">
        <f>31.2+4.8+33.9+5.2+30.9+10.3+19.9+19.5</f>
        <v>155.7</v>
      </c>
      <c r="E103" s="118">
        <f>D103/D102*100</f>
        <v>1.843694493783304</v>
      </c>
      <c r="F103" s="104">
        <f>D103/B103*100</f>
        <v>71.32386623912048</v>
      </c>
      <c r="G103" s="118">
        <f>D103/C103*100</f>
        <v>42.79824079164376</v>
      </c>
      <c r="H103" s="117">
        <f t="shared" si="15"/>
        <v>62.60000000000002</v>
      </c>
      <c r="I103" s="117">
        <f t="shared" si="16"/>
        <v>208.10000000000002</v>
      </c>
      <c r="J103" s="164"/>
      <c r="K103" s="151"/>
    </row>
    <row r="104" spans="1:11" s="91" customFormat="1" ht="18">
      <c r="A104" s="119" t="s">
        <v>48</v>
      </c>
      <c r="B104" s="101">
        <v>8247.9</v>
      </c>
      <c r="C104" s="102">
        <f>8949.2-91.2+1682.1+14.9</f>
        <v>10555</v>
      </c>
      <c r="D104" s="10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</f>
        <v>7439.200000000002</v>
      </c>
      <c r="E104" s="104">
        <f>D104/D102*100</f>
        <v>88.08999407933692</v>
      </c>
      <c r="F104" s="104">
        <f aca="true" t="shared" si="17" ref="F104:F152">D104/B104*100</f>
        <v>90.19507995974735</v>
      </c>
      <c r="G104" s="104">
        <f t="shared" si="14"/>
        <v>70.48034107058268</v>
      </c>
      <c r="H104" s="102">
        <f t="shared" si="15"/>
        <v>808.699999999998</v>
      </c>
      <c r="I104" s="102">
        <f t="shared" si="16"/>
        <v>3115.7999999999984</v>
      </c>
      <c r="J104" s="164"/>
      <c r="K104" s="151"/>
    </row>
    <row r="105" spans="1:11" s="91" customFormat="1" ht="54.75" hidden="1" thickBot="1">
      <c r="A105" s="120" t="s">
        <v>79</v>
      </c>
      <c r="B105" s="121"/>
      <c r="C105" s="121"/>
      <c r="D105" s="121"/>
      <c r="E105" s="122">
        <f>D105/D102*100</f>
        <v>0</v>
      </c>
      <c r="F105" s="122" t="e">
        <f>D105/B105*100</f>
        <v>#DIV/0!</v>
      </c>
      <c r="G105" s="122" t="e">
        <f>D105/C105*100</f>
        <v>#DIV/0!</v>
      </c>
      <c r="H105" s="123">
        <f t="shared" si="15"/>
        <v>0</v>
      </c>
      <c r="I105" s="123">
        <f>C105-D105</f>
        <v>0</v>
      </c>
      <c r="J105" s="164"/>
      <c r="K105" s="151"/>
    </row>
    <row r="106" spans="1:11" s="91" customFormat="1" ht="18.75" thickBot="1">
      <c r="A106" s="120" t="s">
        <v>27</v>
      </c>
      <c r="B106" s="121">
        <f>B102-B103-B104</f>
        <v>1360.1000000000004</v>
      </c>
      <c r="C106" s="121">
        <f>C102-C103-C104</f>
        <v>1978.800000000001</v>
      </c>
      <c r="D106" s="121">
        <f>D102-D103-D104</f>
        <v>850.0999999999958</v>
      </c>
      <c r="E106" s="122">
        <f>D106/D102*100</f>
        <v>10.066311426879764</v>
      </c>
      <c r="F106" s="122">
        <f t="shared" si="17"/>
        <v>62.50275715020922</v>
      </c>
      <c r="G106" s="122">
        <f t="shared" si="14"/>
        <v>42.960380028299745</v>
      </c>
      <c r="H106" s="123">
        <f t="shared" si="15"/>
        <v>510.00000000000455</v>
      </c>
      <c r="I106" s="123">
        <f t="shared" si="16"/>
        <v>1128.7000000000053</v>
      </c>
      <c r="J106" s="164"/>
      <c r="K106" s="151"/>
    </row>
    <row r="107" spans="1:12" s="2" customFormat="1" ht="26.25" customHeight="1" thickBot="1">
      <c r="A107" s="65" t="s">
        <v>28</v>
      </c>
      <c r="B107" s="66">
        <f>SUM(B108:B151)-B115-B120+B152-B142-B143-B109-B112-B123-B124-B140-B133-B131-B138-B118</f>
        <v>376174.1999999999</v>
      </c>
      <c r="C107" s="66">
        <f>SUM(C108:C151)-C115-C120+C152-C142-C143-C109-C112-C123-C124-C140-C133-C131-C138-C118</f>
        <v>565114.1999999998</v>
      </c>
      <c r="D107" s="66">
        <f>SUM(D108:D151)-D115-D120+D152-D142-D143-D109-D112-D123-D124-D140-D133-D131-D138-D118</f>
        <v>269876.39999999997</v>
      </c>
      <c r="E107" s="67">
        <f>D107/D154*100</f>
        <v>21.25792042966337</v>
      </c>
      <c r="F107" s="67">
        <f>D107/B107*100</f>
        <v>71.74240019650472</v>
      </c>
      <c r="G107" s="67">
        <f t="shared" si="14"/>
        <v>47.75608186805429</v>
      </c>
      <c r="H107" s="66">
        <f t="shared" si="15"/>
        <v>106297.79999999993</v>
      </c>
      <c r="I107" s="66">
        <f t="shared" si="16"/>
        <v>295237.7999999999</v>
      </c>
      <c r="J107" s="162"/>
      <c r="K107" s="151"/>
      <c r="L107" s="94"/>
    </row>
    <row r="108" spans="1:12" s="91" customFormat="1" ht="37.5">
      <c r="A108" s="95" t="s">
        <v>52</v>
      </c>
      <c r="B108" s="158">
        <v>2837.6</v>
      </c>
      <c r="C108" s="155">
        <v>4459</v>
      </c>
      <c r="D108" s="96">
        <f>17.1+81.1+17.3+60.5+173.3+3.4+2+0.4+29.3+1.7+177.1+0.8+38.8+139.8+0.3+1.9+1.8+6.5+136+91.3+0.1+1.8+1.1+2.4+3.5+2+3.4+72.2+73.1+42.5+21.2+13.2+0.2+17.6-34.7+31.4+109.2+11.6+31.6+1.8+1.8+136.5+26+0.7+9.8+16+6.4+2.3+33+154.5+0.1-4.6+4.8+5</f>
        <v>1777.8999999999994</v>
      </c>
      <c r="E108" s="97">
        <f>D108/D107*100</f>
        <v>0.6587830577256847</v>
      </c>
      <c r="F108" s="97">
        <f t="shared" si="17"/>
        <v>62.655060614603876</v>
      </c>
      <c r="G108" s="97">
        <f t="shared" si="14"/>
        <v>39.87216864767884</v>
      </c>
      <c r="H108" s="98">
        <f t="shared" si="15"/>
        <v>1059.7000000000005</v>
      </c>
      <c r="I108" s="98">
        <f t="shared" si="16"/>
        <v>2681.1000000000004</v>
      </c>
      <c r="K108" s="151"/>
      <c r="L108" s="99"/>
    </row>
    <row r="109" spans="1:12" s="91" customFormat="1" ht="18.75">
      <c r="A109" s="100" t="s">
        <v>25</v>
      </c>
      <c r="B109" s="101">
        <v>1154.9</v>
      </c>
      <c r="C109" s="102">
        <v>1995</v>
      </c>
      <c r="D109" s="103">
        <f>47.8+0.9+59.7+88.3+0.1+59.2+38.8+107.4+24+91.1+38+42.5+2+31.4+47.6+36.5-21.6</f>
        <v>693.7</v>
      </c>
      <c r="E109" s="104">
        <f>D109/D108*100</f>
        <v>39.01794251645201</v>
      </c>
      <c r="F109" s="104">
        <f t="shared" si="17"/>
        <v>60.06580656333882</v>
      </c>
      <c r="G109" s="104">
        <f t="shared" si="14"/>
        <v>34.771929824561404</v>
      </c>
      <c r="H109" s="102">
        <f aca="true" t="shared" si="18" ref="H109:H152">B109-D109</f>
        <v>461.20000000000005</v>
      </c>
      <c r="I109" s="102">
        <f t="shared" si="16"/>
        <v>1301.3</v>
      </c>
      <c r="K109" s="151"/>
      <c r="L109" s="99"/>
    </row>
    <row r="110" spans="1:12" s="91" customFormat="1" ht="34.5" customHeight="1" hidden="1">
      <c r="A110" s="105" t="s">
        <v>78</v>
      </c>
      <c r="B110" s="157"/>
      <c r="C110" s="98"/>
      <c r="D110" s="96"/>
      <c r="E110" s="97">
        <f>D110/D107*100</f>
        <v>0</v>
      </c>
      <c r="F110" s="97" t="e">
        <f>D110/B110*100</f>
        <v>#DIV/0!</v>
      </c>
      <c r="G110" s="97" t="e">
        <f t="shared" si="14"/>
        <v>#DIV/0!</v>
      </c>
      <c r="H110" s="98">
        <f t="shared" si="18"/>
        <v>0</v>
      </c>
      <c r="I110" s="98">
        <f t="shared" si="16"/>
        <v>0</v>
      </c>
      <c r="K110" s="151"/>
      <c r="L110" s="99"/>
    </row>
    <row r="111" spans="1:12" s="92" customFormat="1" ht="34.5" customHeight="1">
      <c r="A111" s="105" t="s">
        <v>93</v>
      </c>
      <c r="B111" s="159">
        <v>140.6</v>
      </c>
      <c r="C111" s="106">
        <v>200</v>
      </c>
      <c r="D111" s="107"/>
      <c r="E111" s="97">
        <f>D111/D107*100</f>
        <v>0</v>
      </c>
      <c r="F111" s="108">
        <f t="shared" si="17"/>
        <v>0</v>
      </c>
      <c r="G111" s="97">
        <f t="shared" si="14"/>
        <v>0</v>
      </c>
      <c r="H111" s="98">
        <f t="shared" si="18"/>
        <v>140.6</v>
      </c>
      <c r="I111" s="98">
        <f t="shared" si="16"/>
        <v>200</v>
      </c>
      <c r="K111" s="151"/>
      <c r="L111" s="99"/>
    </row>
    <row r="112" spans="1:12" s="91" customFormat="1" ht="18.75" hidden="1">
      <c r="A112" s="100" t="s">
        <v>25</v>
      </c>
      <c r="B112" s="156"/>
      <c r="C112" s="102"/>
      <c r="D112" s="103"/>
      <c r="E112" s="104"/>
      <c r="F112" s="104" t="e">
        <f t="shared" si="17"/>
        <v>#DIV/0!</v>
      </c>
      <c r="G112" s="104" t="e">
        <f t="shared" si="14"/>
        <v>#DIV/0!</v>
      </c>
      <c r="H112" s="102">
        <f t="shared" si="18"/>
        <v>0</v>
      </c>
      <c r="I112" s="102">
        <f t="shared" si="16"/>
        <v>0</v>
      </c>
      <c r="K112" s="151"/>
      <c r="L112" s="99"/>
    </row>
    <row r="113" spans="1:12" s="91" customFormat="1" ht="18.75">
      <c r="A113" s="105" t="s">
        <v>89</v>
      </c>
      <c r="B113" s="159">
        <v>56.7</v>
      </c>
      <c r="C113" s="98">
        <v>64.3</v>
      </c>
      <c r="D113" s="96">
        <f>6.8+7+3.6</f>
        <v>17.400000000000002</v>
      </c>
      <c r="E113" s="97">
        <f>D113/D107*100</f>
        <v>0.006447395919020708</v>
      </c>
      <c r="F113" s="97">
        <f t="shared" si="17"/>
        <v>30.68783068783069</v>
      </c>
      <c r="G113" s="97">
        <f t="shared" si="14"/>
        <v>27.06065318818041</v>
      </c>
      <c r="H113" s="98">
        <f t="shared" si="18"/>
        <v>39.3</v>
      </c>
      <c r="I113" s="98">
        <f t="shared" si="16"/>
        <v>46.89999999999999</v>
      </c>
      <c r="K113" s="151"/>
      <c r="L113" s="99"/>
    </row>
    <row r="114" spans="1:12" s="91" customFormat="1" ht="37.5">
      <c r="A114" s="105" t="s">
        <v>38</v>
      </c>
      <c r="B114" s="159">
        <v>2258.6</v>
      </c>
      <c r="C114" s="98">
        <v>3311.5</v>
      </c>
      <c r="D114" s="96">
        <f>136.4+10+40+6.6+6.1+0.2+177.4+10+1.8+25.1+29.4+48.1+8.1+193.1+10+0.1+17.8+8.8+132.4+79.7+12.6+4.3+3.5+212.4+8.1+0.4+10.8+218.3+5.3+16.4+166.6+54.3+12.8+52.1+1.1+0.2+214.8+15.7</f>
        <v>1950.7999999999997</v>
      </c>
      <c r="E114" s="97">
        <f>D114/D107*100</f>
        <v>0.7228494229210112</v>
      </c>
      <c r="F114" s="97">
        <f t="shared" si="17"/>
        <v>86.37208890463118</v>
      </c>
      <c r="G114" s="97">
        <f t="shared" si="14"/>
        <v>58.90985958025063</v>
      </c>
      <c r="H114" s="98">
        <f t="shared" si="18"/>
        <v>307.8000000000002</v>
      </c>
      <c r="I114" s="98">
        <f t="shared" si="16"/>
        <v>1360.7000000000003</v>
      </c>
      <c r="K114" s="151"/>
      <c r="L114" s="99"/>
    </row>
    <row r="115" spans="1:12" s="91" customFormat="1" ht="18.75" hidden="1">
      <c r="A115" s="109" t="s">
        <v>43</v>
      </c>
      <c r="B115" s="156"/>
      <c r="C115" s="102"/>
      <c r="D115" s="103"/>
      <c r="E115" s="97"/>
      <c r="F115" s="97" t="e">
        <f t="shared" si="17"/>
        <v>#DIV/0!</v>
      </c>
      <c r="G115" s="104" t="e">
        <f t="shared" si="14"/>
        <v>#DIV/0!</v>
      </c>
      <c r="H115" s="102">
        <f t="shared" si="18"/>
        <v>0</v>
      </c>
      <c r="I115" s="102">
        <f t="shared" si="16"/>
        <v>0</v>
      </c>
      <c r="K115" s="151"/>
      <c r="L115" s="99"/>
    </row>
    <row r="116" spans="1:12" s="92" customFormat="1" ht="18.75" customHeight="1" hidden="1">
      <c r="A116" s="105" t="s">
        <v>90</v>
      </c>
      <c r="B116" s="157"/>
      <c r="C116" s="106"/>
      <c r="D116" s="107"/>
      <c r="E116" s="110">
        <f>D116/D107*100</f>
        <v>0</v>
      </c>
      <c r="F116" s="97" t="e">
        <f t="shared" si="17"/>
        <v>#DIV/0!</v>
      </c>
      <c r="G116" s="110" t="e">
        <f t="shared" si="14"/>
        <v>#DIV/0!</v>
      </c>
      <c r="H116" s="106">
        <f t="shared" si="18"/>
        <v>0</v>
      </c>
      <c r="I116" s="106">
        <f t="shared" si="16"/>
        <v>0</v>
      </c>
      <c r="K116" s="151"/>
      <c r="L116" s="99"/>
    </row>
    <row r="117" spans="1:12" s="91" customFormat="1" ht="37.5">
      <c r="A117" s="105" t="s">
        <v>47</v>
      </c>
      <c r="B117" s="159">
        <v>200</v>
      </c>
      <c r="C117" s="98">
        <v>200</v>
      </c>
      <c r="D117" s="96">
        <f>15+40+1.2+1.8</f>
        <v>58</v>
      </c>
      <c r="E117" s="97">
        <f>D117/D107*100</f>
        <v>0.021491319730069028</v>
      </c>
      <c r="F117" s="97">
        <f>D117/B117*100</f>
        <v>28.999999999999996</v>
      </c>
      <c r="G117" s="97">
        <f t="shared" si="14"/>
        <v>28.999999999999996</v>
      </c>
      <c r="H117" s="98">
        <f t="shared" si="18"/>
        <v>142</v>
      </c>
      <c r="I117" s="98">
        <f t="shared" si="16"/>
        <v>142</v>
      </c>
      <c r="K117" s="151"/>
      <c r="L117" s="99"/>
    </row>
    <row r="118" spans="1:12" s="91" customFormat="1" ht="18.75">
      <c r="A118" s="109" t="s">
        <v>88</v>
      </c>
      <c r="B118" s="101">
        <v>40</v>
      </c>
      <c r="C118" s="102">
        <v>40</v>
      </c>
      <c r="D118" s="103">
        <v>40</v>
      </c>
      <c r="E118" s="104">
        <f>D118/D117*100</f>
        <v>68.96551724137932</v>
      </c>
      <c r="F118" s="104">
        <f>D118/B118*100</f>
        <v>100</v>
      </c>
      <c r="G118" s="104">
        <f>D118/C118*100</f>
        <v>100</v>
      </c>
      <c r="H118" s="102">
        <f>B118-D118</f>
        <v>0</v>
      </c>
      <c r="I118" s="102">
        <f>C118-D118</f>
        <v>0</v>
      </c>
      <c r="K118" s="179"/>
      <c r="L118" s="180"/>
    </row>
    <row r="119" spans="1:12" s="111" customFormat="1" ht="18.75">
      <c r="A119" s="105" t="s">
        <v>15</v>
      </c>
      <c r="B119" s="159">
        <v>283</v>
      </c>
      <c r="C119" s="106">
        <v>491.6</v>
      </c>
      <c r="D119" s="96">
        <f>45.4+9.9+47+6.4+0.4+0.4+45.4+0.4+2.9+45.4+4+6.8+0.4+45.4+0.1+5.8+0.8+0.4+0.8+0.7+13+0.4</f>
        <v>282.20000000000005</v>
      </c>
      <c r="E119" s="97">
        <f>D119/D107*100</f>
        <v>0.10456638668664621</v>
      </c>
      <c r="F119" s="97">
        <f t="shared" si="17"/>
        <v>99.71731448763252</v>
      </c>
      <c r="G119" s="97">
        <f t="shared" si="14"/>
        <v>57.40439381611067</v>
      </c>
      <c r="H119" s="98">
        <f t="shared" si="18"/>
        <v>0.7999999999999545</v>
      </c>
      <c r="I119" s="98">
        <f t="shared" si="16"/>
        <v>209.39999999999998</v>
      </c>
      <c r="K119" s="179"/>
      <c r="L119" s="180"/>
    </row>
    <row r="120" spans="1:12" s="112" customFormat="1" ht="18.75">
      <c r="A120" s="109" t="s">
        <v>43</v>
      </c>
      <c r="B120" s="101">
        <v>227.1</v>
      </c>
      <c r="C120" s="102">
        <v>408.8</v>
      </c>
      <c r="D120" s="103">
        <f>45.4+45.4+45.4+45.4+45.4+0.1</f>
        <v>227.1</v>
      </c>
      <c r="E120" s="104">
        <f>D120/D119*100</f>
        <v>80.47484053862507</v>
      </c>
      <c r="F120" s="104">
        <f t="shared" si="17"/>
        <v>100</v>
      </c>
      <c r="G120" s="104">
        <f t="shared" si="14"/>
        <v>55.55283757338552</v>
      </c>
      <c r="H120" s="102">
        <f t="shared" si="18"/>
        <v>0</v>
      </c>
      <c r="I120" s="102">
        <f t="shared" si="16"/>
        <v>181.70000000000002</v>
      </c>
      <c r="K120" s="179"/>
      <c r="L120" s="180"/>
    </row>
    <row r="121" spans="1:12" s="111" customFormat="1" ht="18.75">
      <c r="A121" s="105" t="s">
        <v>105</v>
      </c>
      <c r="B121" s="159">
        <v>205</v>
      </c>
      <c r="C121" s="106">
        <v>317</v>
      </c>
      <c r="D121" s="96">
        <v>3.6</v>
      </c>
      <c r="E121" s="97">
        <f>D121/D107*100</f>
        <v>0.001333943983245664</v>
      </c>
      <c r="F121" s="97">
        <f t="shared" si="17"/>
        <v>1.75609756097561</v>
      </c>
      <c r="G121" s="97">
        <f t="shared" si="14"/>
        <v>1.135646687697161</v>
      </c>
      <c r="H121" s="98">
        <f t="shared" si="18"/>
        <v>201.4</v>
      </c>
      <c r="I121" s="98">
        <f t="shared" si="16"/>
        <v>313.4</v>
      </c>
      <c r="K121" s="179"/>
      <c r="L121" s="180"/>
    </row>
    <row r="122" spans="1:12" s="111" customFormat="1" ht="21.75" customHeight="1">
      <c r="A122" s="105" t="s">
        <v>94</v>
      </c>
      <c r="B122" s="159">
        <v>480</v>
      </c>
      <c r="C122" s="106">
        <f>480+80</f>
        <v>560</v>
      </c>
      <c r="D122" s="107">
        <f>12+360.2+19.8</f>
        <v>392</v>
      </c>
      <c r="E122" s="110">
        <f>D122/D107*100</f>
        <v>0.14525167817563894</v>
      </c>
      <c r="F122" s="97">
        <f t="shared" si="17"/>
        <v>81.66666666666667</v>
      </c>
      <c r="G122" s="97">
        <f t="shared" si="14"/>
        <v>70</v>
      </c>
      <c r="H122" s="98">
        <f t="shared" si="18"/>
        <v>88</v>
      </c>
      <c r="I122" s="98">
        <f t="shared" si="16"/>
        <v>168</v>
      </c>
      <c r="J122" s="162"/>
      <c r="K122" s="179"/>
      <c r="L122" s="180"/>
    </row>
    <row r="123" spans="1:12" s="114" customFormat="1" ht="18.75" hidden="1">
      <c r="A123" s="100" t="s">
        <v>80</v>
      </c>
      <c r="B123" s="156"/>
      <c r="C123" s="102"/>
      <c r="D123" s="103"/>
      <c r="E123" s="97"/>
      <c r="F123" s="113" t="e">
        <f>D123/B123*100</f>
        <v>#DIV/0!</v>
      </c>
      <c r="G123" s="104" t="e">
        <f t="shared" si="14"/>
        <v>#DIV/0!</v>
      </c>
      <c r="H123" s="102">
        <f t="shared" si="18"/>
        <v>0</v>
      </c>
      <c r="I123" s="102">
        <f t="shared" si="16"/>
        <v>0</v>
      </c>
      <c r="K123" s="179"/>
      <c r="L123" s="180"/>
    </row>
    <row r="124" spans="1:12" s="114" customFormat="1" ht="18.75" hidden="1">
      <c r="A124" s="100" t="s">
        <v>49</v>
      </c>
      <c r="B124" s="156"/>
      <c r="C124" s="102"/>
      <c r="D124" s="103"/>
      <c r="E124" s="97"/>
      <c r="F124" s="104" t="e">
        <f>D124/B124*100</f>
        <v>#DIV/0!</v>
      </c>
      <c r="G124" s="104" t="e">
        <f t="shared" si="14"/>
        <v>#DIV/0!</v>
      </c>
      <c r="H124" s="102">
        <f t="shared" si="18"/>
        <v>0</v>
      </c>
      <c r="I124" s="102">
        <f t="shared" si="16"/>
        <v>0</v>
      </c>
      <c r="K124" s="179"/>
      <c r="L124" s="180"/>
    </row>
    <row r="125" spans="1:12" s="111" customFormat="1" ht="37.5">
      <c r="A125" s="105" t="s">
        <v>95</v>
      </c>
      <c r="B125" s="159">
        <f>34989.8+800</f>
        <v>35789.8</v>
      </c>
      <c r="C125" s="106">
        <v>45511.3</v>
      </c>
      <c r="D125" s="107">
        <f>3529.6+2264.3+1265.3+2996.5+533.1+738.7+2380.2+1722.3+1049.4+1874.1+1476.2+1455.5+94.4+1416+1268.6+1913.6+457.2+1108.2+2510.4+39.4+1337.2+1221+3120.4</f>
        <v>35771.600000000006</v>
      </c>
      <c r="E125" s="110">
        <f>D125/D107*100</f>
        <v>13.25480849751961</v>
      </c>
      <c r="F125" s="97">
        <f t="shared" si="17"/>
        <v>99.94914752247848</v>
      </c>
      <c r="G125" s="97">
        <f t="shared" si="14"/>
        <v>78.59938081311675</v>
      </c>
      <c r="H125" s="98">
        <f t="shared" si="18"/>
        <v>18.19999999999709</v>
      </c>
      <c r="I125" s="98">
        <f t="shared" si="16"/>
        <v>9739.699999999997</v>
      </c>
      <c r="K125" s="179"/>
      <c r="L125" s="180"/>
    </row>
    <row r="126" spans="1:12" s="111" customFormat="1" ht="18.75">
      <c r="A126" s="105" t="s">
        <v>91</v>
      </c>
      <c r="B126" s="159">
        <v>670</v>
      </c>
      <c r="C126" s="106">
        <v>700</v>
      </c>
      <c r="D126" s="107">
        <f>9.6+1.5</f>
        <v>11.1</v>
      </c>
      <c r="E126" s="110">
        <f>D126/D107*100</f>
        <v>0.004112993948340796</v>
      </c>
      <c r="F126" s="97">
        <f t="shared" si="17"/>
        <v>1.6567164179104477</v>
      </c>
      <c r="G126" s="97">
        <f t="shared" si="14"/>
        <v>1.5857142857142859</v>
      </c>
      <c r="H126" s="98">
        <f t="shared" si="18"/>
        <v>658.9</v>
      </c>
      <c r="I126" s="98">
        <f t="shared" si="16"/>
        <v>688.9</v>
      </c>
      <c r="K126" s="179"/>
      <c r="L126" s="180"/>
    </row>
    <row r="127" spans="1:12" s="111" customFormat="1" ht="37.5">
      <c r="A127" s="105" t="s">
        <v>100</v>
      </c>
      <c r="B127" s="159">
        <v>142</v>
      </c>
      <c r="C127" s="106">
        <v>200</v>
      </c>
      <c r="D127" s="107">
        <f>63.1+15.9</f>
        <v>79</v>
      </c>
      <c r="E127" s="110">
        <f>D127/D107*100</f>
        <v>0.029272659632335395</v>
      </c>
      <c r="F127" s="97">
        <f t="shared" si="17"/>
        <v>55.633802816901415</v>
      </c>
      <c r="G127" s="97">
        <f t="shared" si="14"/>
        <v>39.5</v>
      </c>
      <c r="H127" s="98">
        <f t="shared" si="18"/>
        <v>63</v>
      </c>
      <c r="I127" s="98">
        <f t="shared" si="16"/>
        <v>121</v>
      </c>
      <c r="K127" s="179"/>
      <c r="L127" s="180"/>
    </row>
    <row r="128" spans="1:12" s="111" customFormat="1" ht="37.5">
      <c r="A128" s="105" t="s">
        <v>85</v>
      </c>
      <c r="B128" s="159">
        <v>111.1</v>
      </c>
      <c r="C128" s="106">
        <f>111.1</f>
        <v>111.1</v>
      </c>
      <c r="D128" s="107">
        <v>34.5</v>
      </c>
      <c r="E128" s="110">
        <f>D128/D107*100</f>
        <v>0.012783629839437611</v>
      </c>
      <c r="F128" s="97">
        <f t="shared" si="17"/>
        <v>31.053105310531055</v>
      </c>
      <c r="G128" s="97">
        <f t="shared" si="14"/>
        <v>31.053105310531055</v>
      </c>
      <c r="H128" s="98">
        <f t="shared" si="18"/>
        <v>76.6</v>
      </c>
      <c r="I128" s="98">
        <f t="shared" si="16"/>
        <v>76.6</v>
      </c>
      <c r="K128" s="179"/>
      <c r="L128" s="180"/>
    </row>
    <row r="129" spans="1:12" s="111" customFormat="1" ht="18.75" hidden="1">
      <c r="A129" s="109" t="s">
        <v>83</v>
      </c>
      <c r="B129" s="157"/>
      <c r="C129" s="106"/>
      <c r="D129" s="107"/>
      <c r="E129" s="110">
        <f>D129/D108*100</f>
        <v>0</v>
      </c>
      <c r="F129" s="97" t="e">
        <f t="shared" si="17"/>
        <v>#DIV/0!</v>
      </c>
      <c r="G129" s="97" t="e">
        <f t="shared" si="14"/>
        <v>#DIV/0!</v>
      </c>
      <c r="H129" s="98">
        <f t="shared" si="18"/>
        <v>0</v>
      </c>
      <c r="I129" s="98">
        <f t="shared" si="16"/>
        <v>0</v>
      </c>
      <c r="K129" s="179"/>
      <c r="L129" s="180"/>
    </row>
    <row r="130" spans="1:12" s="111" customFormat="1" ht="37.5">
      <c r="A130" s="105" t="s">
        <v>57</v>
      </c>
      <c r="B130" s="159">
        <v>587.2</v>
      </c>
      <c r="C130" s="106">
        <v>942</v>
      </c>
      <c r="D130" s="107">
        <f>7+4.2+0.1+12.3+0.2+7.1+17.8+14.9+1.7+0.1+7.4+7+2.7+3.7+7.1+5.3+31.3+16.4+2.5+1.7+26.7+0.1+13.8+0.1+2.9+6.5+0.6+7+4.8+0.1+17.3+0.5+7.6+29.1+0.2+0.1+7.4+1+0.1+0.2+0.1+0.4+7.4+2.8</f>
        <v>287.3</v>
      </c>
      <c r="E130" s="110">
        <f>D130/D107*100</f>
        <v>0.1064561406629109</v>
      </c>
      <c r="F130" s="97">
        <f t="shared" si="17"/>
        <v>48.927111716621255</v>
      </c>
      <c r="G130" s="97">
        <f t="shared" si="14"/>
        <v>30.498938428874734</v>
      </c>
      <c r="H130" s="98">
        <f t="shared" si="18"/>
        <v>299.90000000000003</v>
      </c>
      <c r="I130" s="98">
        <f t="shared" si="16"/>
        <v>654.7</v>
      </c>
      <c r="K130" s="179"/>
      <c r="L130" s="180"/>
    </row>
    <row r="131" spans="1:12" s="112" customFormat="1" ht="18.75">
      <c r="A131" s="100" t="s">
        <v>88</v>
      </c>
      <c r="B131" s="101">
        <v>294.6</v>
      </c>
      <c r="C131" s="102">
        <v>510.8</v>
      </c>
      <c r="D131" s="103">
        <f>7+7.1+7+7.1+7+7+7.4+7.4</f>
        <v>57</v>
      </c>
      <c r="E131" s="104">
        <f>D131/D130*100</f>
        <v>19.83988861816916</v>
      </c>
      <c r="F131" s="104">
        <f>D131/B131*100</f>
        <v>19.34826883910387</v>
      </c>
      <c r="G131" s="104">
        <f t="shared" si="14"/>
        <v>11.15896632732968</v>
      </c>
      <c r="H131" s="102">
        <f t="shared" si="18"/>
        <v>237.60000000000002</v>
      </c>
      <c r="I131" s="102">
        <f t="shared" si="16"/>
        <v>453.8</v>
      </c>
      <c r="K131" s="179"/>
      <c r="L131" s="180"/>
    </row>
    <row r="132" spans="1:12" s="111" customFormat="1" ht="37.5">
      <c r="A132" s="105" t="s">
        <v>103</v>
      </c>
      <c r="B132" s="159">
        <v>305</v>
      </c>
      <c r="C132" s="106">
        <v>485</v>
      </c>
      <c r="D132" s="107"/>
      <c r="E132" s="110">
        <f>D132/D107*100</f>
        <v>0</v>
      </c>
      <c r="F132" s="108">
        <f t="shared" si="17"/>
        <v>0</v>
      </c>
      <c r="G132" s="97">
        <f t="shared" si="14"/>
        <v>0</v>
      </c>
      <c r="H132" s="98">
        <f t="shared" si="18"/>
        <v>305</v>
      </c>
      <c r="I132" s="98">
        <f t="shared" si="16"/>
        <v>485</v>
      </c>
      <c r="K132" s="179"/>
      <c r="L132" s="180"/>
    </row>
    <row r="133" spans="1:12" s="112" customFormat="1" ht="18.75" hidden="1">
      <c r="A133" s="109" t="s">
        <v>43</v>
      </c>
      <c r="B133" s="156"/>
      <c r="C133" s="102"/>
      <c r="D133" s="103"/>
      <c r="E133" s="104"/>
      <c r="F133" s="104" t="e">
        <f>D133/B133*100</f>
        <v>#DIV/0!</v>
      </c>
      <c r="G133" s="104" t="e">
        <f t="shared" si="14"/>
        <v>#DIV/0!</v>
      </c>
      <c r="H133" s="102">
        <f t="shared" si="18"/>
        <v>0</v>
      </c>
      <c r="I133" s="102">
        <f t="shared" si="16"/>
        <v>0</v>
      </c>
      <c r="K133" s="179"/>
      <c r="L133" s="180"/>
    </row>
    <row r="134" spans="1:12" s="111" customFormat="1" ht="35.25" customHeight="1" hidden="1">
      <c r="A134" s="105" t="s">
        <v>102</v>
      </c>
      <c r="B134" s="157"/>
      <c r="C134" s="106"/>
      <c r="D134" s="107"/>
      <c r="E134" s="110">
        <f>D134/D107*100</f>
        <v>0</v>
      </c>
      <c r="F134" s="97" t="e">
        <f t="shared" si="17"/>
        <v>#DIV/0!</v>
      </c>
      <c r="G134" s="97" t="e">
        <f t="shared" si="14"/>
        <v>#DIV/0!</v>
      </c>
      <c r="H134" s="98">
        <f t="shared" si="18"/>
        <v>0</v>
      </c>
      <c r="I134" s="98">
        <f>C134-D134</f>
        <v>0</v>
      </c>
      <c r="K134" s="179"/>
      <c r="L134" s="180"/>
    </row>
    <row r="135" spans="1:12" s="111" customFormat="1" ht="21.75" customHeight="1" hidden="1">
      <c r="A135" s="105" t="s">
        <v>101</v>
      </c>
      <c r="B135" s="157"/>
      <c r="C135" s="106"/>
      <c r="D135" s="107"/>
      <c r="E135" s="110">
        <f>D135/D107*100</f>
        <v>0</v>
      </c>
      <c r="F135" s="97" t="e">
        <f t="shared" si="17"/>
        <v>#DIV/0!</v>
      </c>
      <c r="G135" s="97" t="e">
        <f t="shared" si="14"/>
        <v>#DIV/0!</v>
      </c>
      <c r="H135" s="98">
        <f t="shared" si="18"/>
        <v>0</v>
      </c>
      <c r="I135" s="98">
        <f t="shared" si="16"/>
        <v>0</v>
      </c>
      <c r="K135" s="179"/>
      <c r="L135" s="180"/>
    </row>
    <row r="136" spans="1:12" s="111" customFormat="1" ht="35.25" customHeight="1">
      <c r="A136" s="105" t="s">
        <v>87</v>
      </c>
      <c r="B136" s="159">
        <v>245</v>
      </c>
      <c r="C136" s="106">
        <v>383.2</v>
      </c>
      <c r="D136" s="107">
        <f>2.9+1.5+9.7+8.2+0.2-0.4+16+13.6+102.3+20.9</f>
        <v>174.9</v>
      </c>
      <c r="E136" s="110">
        <f>D136/D107*100</f>
        <v>0.0648074451860185</v>
      </c>
      <c r="F136" s="97">
        <f t="shared" si="17"/>
        <v>71.38775510204081</v>
      </c>
      <c r="G136" s="97">
        <f t="shared" si="14"/>
        <v>45.6419624217119</v>
      </c>
      <c r="H136" s="98">
        <f t="shared" si="18"/>
        <v>70.1</v>
      </c>
      <c r="I136" s="98">
        <f t="shared" si="16"/>
        <v>208.29999999999998</v>
      </c>
      <c r="K136" s="179"/>
      <c r="L136" s="180"/>
    </row>
    <row r="137" spans="1:12" s="111" customFormat="1" ht="39" customHeight="1">
      <c r="A137" s="105" t="s">
        <v>54</v>
      </c>
      <c r="B137" s="159">
        <v>200</v>
      </c>
      <c r="C137" s="106">
        <v>350</v>
      </c>
      <c r="D137" s="107">
        <f>3.7+1.9+30+0.6+12.1</f>
        <v>48.300000000000004</v>
      </c>
      <c r="E137" s="110">
        <f>D137/D107*100</f>
        <v>0.017897081775212657</v>
      </c>
      <c r="F137" s="97">
        <f t="shared" si="17"/>
        <v>24.150000000000002</v>
      </c>
      <c r="G137" s="97">
        <f t="shared" si="14"/>
        <v>13.8</v>
      </c>
      <c r="H137" s="98">
        <f t="shared" si="18"/>
        <v>151.7</v>
      </c>
      <c r="I137" s="98">
        <f t="shared" si="16"/>
        <v>301.7</v>
      </c>
      <c r="K137" s="179"/>
      <c r="L137" s="180"/>
    </row>
    <row r="138" spans="1:12" s="112" customFormat="1" ht="18.75">
      <c r="A138" s="100" t="s">
        <v>88</v>
      </c>
      <c r="B138" s="101">
        <v>61.9</v>
      </c>
      <c r="C138" s="102">
        <v>110</v>
      </c>
      <c r="D138" s="103">
        <f>3.7+1.9+12.1</f>
        <v>17.7</v>
      </c>
      <c r="E138" s="104"/>
      <c r="F138" s="97">
        <f>D138/B138*100</f>
        <v>28.594507269789982</v>
      </c>
      <c r="G138" s="104">
        <f>D138/C138*100</f>
        <v>16.09090909090909</v>
      </c>
      <c r="H138" s="102">
        <f>B138-D138</f>
        <v>44.2</v>
      </c>
      <c r="I138" s="102">
        <f>C138-D138</f>
        <v>92.3</v>
      </c>
      <c r="K138" s="179"/>
      <c r="L138" s="180"/>
    </row>
    <row r="139" spans="1:12" s="111" customFormat="1" ht="32.25" customHeight="1">
      <c r="A139" s="105" t="s">
        <v>84</v>
      </c>
      <c r="B139" s="159">
        <v>420.1</v>
      </c>
      <c r="C139" s="106">
        <v>607.7</v>
      </c>
      <c r="D139" s="107">
        <f>76+0.3+41+44+1.8+16.3+2.4+30+0.6+0.2+27.4+0.2+4.5-0.2+31.4+4.5+7.9+26.6+4.5+0.5+26.6+0.3+4.3</f>
        <v>351.1000000000001</v>
      </c>
      <c r="E139" s="110">
        <f>D139/D107*100</f>
        <v>0.13009659236598686</v>
      </c>
      <c r="F139" s="97">
        <f>D139/B139*100</f>
        <v>83.57533920495122</v>
      </c>
      <c r="G139" s="97">
        <f>D139/C139*100</f>
        <v>57.77521803521475</v>
      </c>
      <c r="H139" s="98">
        <f t="shared" si="18"/>
        <v>68.99999999999994</v>
      </c>
      <c r="I139" s="98">
        <f t="shared" si="16"/>
        <v>256.59999999999997</v>
      </c>
      <c r="K139" s="179"/>
      <c r="L139" s="180"/>
    </row>
    <row r="140" spans="1:12" s="112" customFormat="1" ht="18.75">
      <c r="A140" s="100" t="s">
        <v>25</v>
      </c>
      <c r="B140" s="101">
        <v>339.4</v>
      </c>
      <c r="C140" s="102">
        <v>489.6</v>
      </c>
      <c r="D140" s="103">
        <f>76+37.6+44+1.2+0.7+30+27.4+30.6+0.6+26+0.5+26</f>
        <v>300.59999999999997</v>
      </c>
      <c r="E140" s="104">
        <f>D140/D139*100</f>
        <v>85.61663343776699</v>
      </c>
      <c r="F140" s="104">
        <f t="shared" si="17"/>
        <v>88.56806128461992</v>
      </c>
      <c r="G140" s="104">
        <f>D140/C140*100</f>
        <v>61.397058823529406</v>
      </c>
      <c r="H140" s="102">
        <f t="shared" si="18"/>
        <v>38.80000000000001</v>
      </c>
      <c r="I140" s="102">
        <f t="shared" si="16"/>
        <v>189.00000000000006</v>
      </c>
      <c r="K140" s="179"/>
      <c r="L140" s="180"/>
    </row>
    <row r="141" spans="1:12" s="111" customFormat="1" ht="18.75">
      <c r="A141" s="105" t="s">
        <v>96</v>
      </c>
      <c r="B141" s="159">
        <v>1234.3</v>
      </c>
      <c r="C141" s="106">
        <v>1760</v>
      </c>
      <c r="D141" s="107">
        <f>107.3+0.4+30.4+78.2+4.1+36.9+117.9+50.5+112.6+5.2+52.3+10.5+76.8-0.2+10.4+82.9+84+50.5+35.7+3.4+90.4+1.3+74.9+86.3</f>
        <v>1202.7</v>
      </c>
      <c r="E141" s="110">
        <f>D141/D107*100</f>
        <v>0.4456484524026555</v>
      </c>
      <c r="F141" s="97">
        <f t="shared" si="17"/>
        <v>97.43984444624483</v>
      </c>
      <c r="G141" s="97">
        <f t="shared" si="14"/>
        <v>68.33522727272727</v>
      </c>
      <c r="H141" s="98">
        <f t="shared" si="18"/>
        <v>31.59999999999991</v>
      </c>
      <c r="I141" s="98">
        <f t="shared" si="16"/>
        <v>557.3</v>
      </c>
      <c r="J141" s="162"/>
      <c r="K141" s="179"/>
      <c r="L141" s="180"/>
    </row>
    <row r="142" spans="1:12" s="112" customFormat="1" ht="18.75">
      <c r="A142" s="109" t="s">
        <v>43</v>
      </c>
      <c r="B142" s="101">
        <v>998.5</v>
      </c>
      <c r="C142" s="102">
        <v>1437.4</v>
      </c>
      <c r="D142" s="103">
        <f>107.3+25.4+76+34+76.6+47.2+83.8+4.5+35.4+76.8-0.2+60.7+81+50.4+90.4+52.9+85</f>
        <v>987.1999999999998</v>
      </c>
      <c r="E142" s="104">
        <f>D142/D141*100</f>
        <v>82.08198220670157</v>
      </c>
      <c r="F142" s="104">
        <f aca="true" t="shared" si="19" ref="F142:F151">D142/B142*100</f>
        <v>98.8683024536805</v>
      </c>
      <c r="G142" s="104">
        <f t="shared" si="14"/>
        <v>68.67956031723944</v>
      </c>
      <c r="H142" s="102">
        <f t="shared" si="18"/>
        <v>11.300000000000182</v>
      </c>
      <c r="I142" s="102">
        <f t="shared" si="16"/>
        <v>450.2000000000003</v>
      </c>
      <c r="J142" s="163"/>
      <c r="K142" s="179"/>
      <c r="L142" s="180"/>
    </row>
    <row r="143" spans="1:13" s="112" customFormat="1" ht="18.75">
      <c r="A143" s="100" t="s">
        <v>25</v>
      </c>
      <c r="B143" s="101">
        <v>28.2</v>
      </c>
      <c r="C143" s="102">
        <v>40</v>
      </c>
      <c r="D143" s="103">
        <f>0.4+4.9+0.7+4.7+3.3+0.4+0.7+0.6+0.1+0.1</f>
        <v>15.899999999999999</v>
      </c>
      <c r="E143" s="104">
        <f>D143/D141*100</f>
        <v>1.3220254427538036</v>
      </c>
      <c r="F143" s="104">
        <f t="shared" si="19"/>
        <v>56.38297872340425</v>
      </c>
      <c r="G143" s="104">
        <f>D143/C143*100</f>
        <v>39.75</v>
      </c>
      <c r="H143" s="102">
        <f t="shared" si="18"/>
        <v>12.3</v>
      </c>
      <c r="I143" s="102">
        <f t="shared" si="16"/>
        <v>24.1</v>
      </c>
      <c r="J143" s="163"/>
      <c r="K143" s="179"/>
      <c r="L143" s="180"/>
      <c r="M143" s="152"/>
    </row>
    <row r="144" spans="1:12" s="111" customFormat="1" ht="33.75" customHeight="1">
      <c r="A144" s="115" t="s">
        <v>56</v>
      </c>
      <c r="B144" s="159">
        <f>90+7.5+527</f>
        <v>624.5</v>
      </c>
      <c r="C144" s="106">
        <f>90+534.5</f>
        <v>624.5</v>
      </c>
      <c r="D144" s="107">
        <f>7.5+527</f>
        <v>534.5</v>
      </c>
      <c r="E144" s="110">
        <f>D144/D107*100</f>
        <v>0.19805362751244646</v>
      </c>
      <c r="F144" s="97">
        <f t="shared" si="19"/>
        <v>85.58847077662129</v>
      </c>
      <c r="G144" s="97">
        <f t="shared" si="14"/>
        <v>85.58847077662129</v>
      </c>
      <c r="H144" s="98">
        <f t="shared" si="18"/>
        <v>90</v>
      </c>
      <c r="I144" s="98">
        <f t="shared" si="16"/>
        <v>90</v>
      </c>
      <c r="J144" s="162"/>
      <c r="K144" s="179"/>
      <c r="L144" s="180"/>
    </row>
    <row r="145" spans="1:12" s="111" customFormat="1" ht="18.75" hidden="1">
      <c r="A145" s="115" t="s">
        <v>92</v>
      </c>
      <c r="B145" s="157"/>
      <c r="C145" s="106"/>
      <c r="D145" s="107"/>
      <c r="E145" s="110">
        <f>D145/D107*100</f>
        <v>0</v>
      </c>
      <c r="F145" s="97" t="e">
        <f>D145/B145*100</f>
        <v>#DIV/0!</v>
      </c>
      <c r="G145" s="97" t="e">
        <f t="shared" si="14"/>
        <v>#DIV/0!</v>
      </c>
      <c r="H145" s="98">
        <f t="shared" si="18"/>
        <v>0</v>
      </c>
      <c r="I145" s="98">
        <f t="shared" si="16"/>
        <v>0</v>
      </c>
      <c r="J145" s="162"/>
      <c r="K145" s="179"/>
      <c r="L145" s="180"/>
    </row>
    <row r="146" spans="1:12" s="111" customFormat="1" ht="18.75">
      <c r="A146" s="115" t="s">
        <v>97</v>
      </c>
      <c r="B146" s="159">
        <f>37434.2+5671.6</f>
        <v>43105.799999999996</v>
      </c>
      <c r="C146" s="106">
        <f>56447.1-100+1500-3000+10865.4+0.1</f>
        <v>65712.6</v>
      </c>
      <c r="D146" s="10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</f>
        <v>41227.700000000004</v>
      </c>
      <c r="E146" s="110">
        <f>D146/D107*100</f>
        <v>15.276511766127015</v>
      </c>
      <c r="F146" s="97">
        <f t="shared" si="19"/>
        <v>95.64304571542579</v>
      </c>
      <c r="G146" s="97">
        <f t="shared" si="14"/>
        <v>62.739413750178805</v>
      </c>
      <c r="H146" s="98">
        <f t="shared" si="18"/>
        <v>1878.0999999999913</v>
      </c>
      <c r="I146" s="98">
        <f t="shared" si="16"/>
        <v>24484.9</v>
      </c>
      <c r="J146" s="162"/>
      <c r="K146" s="179"/>
      <c r="L146" s="180"/>
    </row>
    <row r="147" spans="1:12" s="111" customFormat="1" ht="18.75" hidden="1">
      <c r="A147" s="115" t="s">
        <v>86</v>
      </c>
      <c r="B147" s="157"/>
      <c r="C147" s="106"/>
      <c r="D147" s="107"/>
      <c r="E147" s="110">
        <f>D147/D107*100</f>
        <v>0</v>
      </c>
      <c r="F147" s="97" t="e">
        <f t="shared" si="19"/>
        <v>#DIV/0!</v>
      </c>
      <c r="G147" s="97" t="e">
        <f t="shared" si="14"/>
        <v>#DIV/0!</v>
      </c>
      <c r="H147" s="98">
        <f t="shared" si="18"/>
        <v>0</v>
      </c>
      <c r="I147" s="98">
        <f t="shared" si="16"/>
        <v>0</v>
      </c>
      <c r="J147" s="162"/>
      <c r="K147" s="179"/>
      <c r="L147" s="180"/>
    </row>
    <row r="148" spans="1:12" s="111" customFormat="1" ht="37.5" hidden="1">
      <c r="A148" s="115" t="s">
        <v>104</v>
      </c>
      <c r="B148" s="157"/>
      <c r="C148" s="106"/>
      <c r="D148" s="107"/>
      <c r="E148" s="110">
        <f>D148/D109*100</f>
        <v>0</v>
      </c>
      <c r="F148" s="97" t="e">
        <f>D148/B148*100</f>
        <v>#DIV/0!</v>
      </c>
      <c r="G148" s="97" t="e">
        <f>D148/C148*100</f>
        <v>#DIV/0!</v>
      </c>
      <c r="H148" s="98">
        <f>B148-D148</f>
        <v>0</v>
      </c>
      <c r="I148" s="98">
        <f>C148-D148</f>
        <v>0</v>
      </c>
      <c r="J148" s="162"/>
      <c r="K148" s="179"/>
      <c r="L148" s="180"/>
    </row>
    <row r="149" spans="1:12" s="111" customFormat="1" ht="18.75">
      <c r="A149" s="105" t="s">
        <v>98</v>
      </c>
      <c r="B149" s="159">
        <v>89.4</v>
      </c>
      <c r="C149" s="106">
        <v>162.3</v>
      </c>
      <c r="D149" s="107">
        <f>46.4+43</f>
        <v>89.4</v>
      </c>
      <c r="E149" s="110">
        <f>D149/D107*100</f>
        <v>0.03312627558393399</v>
      </c>
      <c r="F149" s="97">
        <f t="shared" si="19"/>
        <v>100</v>
      </c>
      <c r="G149" s="97">
        <f t="shared" si="14"/>
        <v>55.08317929759704</v>
      </c>
      <c r="H149" s="98">
        <f t="shared" si="18"/>
        <v>0</v>
      </c>
      <c r="I149" s="98">
        <f t="shared" si="16"/>
        <v>72.9</v>
      </c>
      <c r="J149" s="162"/>
      <c r="K149" s="179"/>
      <c r="L149" s="180"/>
    </row>
    <row r="150" spans="1:12" s="111" customFormat="1" ht="18" customHeight="1">
      <c r="A150" s="105" t="s">
        <v>77</v>
      </c>
      <c r="B150" s="159">
        <v>8262.7</v>
      </c>
      <c r="C150" s="106">
        <f>10563.8+657.7</f>
        <v>11221.5</v>
      </c>
      <c r="D150" s="107">
        <f>791.9+575.3+777.6+830.9+722.1+47.7+657.7+821-47.6+744.9+750.8</f>
        <v>6672.299999999999</v>
      </c>
      <c r="E150" s="110">
        <f>D150/D107*100</f>
        <v>2.4723540109472335</v>
      </c>
      <c r="F150" s="97">
        <f t="shared" si="19"/>
        <v>80.75205441320632</v>
      </c>
      <c r="G150" s="97">
        <f t="shared" si="14"/>
        <v>59.45996524528806</v>
      </c>
      <c r="H150" s="98">
        <f t="shared" si="18"/>
        <v>1590.4000000000015</v>
      </c>
      <c r="I150" s="98">
        <f t="shared" si="16"/>
        <v>4549.200000000001</v>
      </c>
      <c r="J150" s="162"/>
      <c r="K150" s="179"/>
      <c r="L150" s="180"/>
    </row>
    <row r="151" spans="1:12" s="111" customFormat="1" ht="19.5" customHeight="1">
      <c r="A151" s="145" t="s">
        <v>50</v>
      </c>
      <c r="B151" s="161">
        <f>254700.8-6471.6-100+1641.8</f>
        <v>249770.99999999997</v>
      </c>
      <c r="C151" s="146">
        <f>350771.5+40351.1-7680.5+12-588.3+1641.8</f>
        <v>384507.6</v>
      </c>
      <c r="D151" s="14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</f>
        <v>151928.4</v>
      </c>
      <c r="E151" s="148">
        <f>D151/D107*100</f>
        <v>56.29554862892792</v>
      </c>
      <c r="F151" s="149">
        <f t="shared" si="19"/>
        <v>60.82707760308443</v>
      </c>
      <c r="G151" s="149">
        <f t="shared" si="14"/>
        <v>39.51245697094154</v>
      </c>
      <c r="H151" s="150">
        <f t="shared" si="18"/>
        <v>97842.59999999998</v>
      </c>
      <c r="I151" s="150">
        <f>C151-D151</f>
        <v>232579.19999999998</v>
      </c>
      <c r="K151" s="179"/>
      <c r="L151" s="180"/>
    </row>
    <row r="152" spans="1:12" s="111" customFormat="1" ht="18.75">
      <c r="A152" s="105" t="s">
        <v>99</v>
      </c>
      <c r="B152" s="159">
        <v>28154.8</v>
      </c>
      <c r="C152" s="106">
        <v>42232</v>
      </c>
      <c r="D152" s="107">
        <f>819+819+819.1+1062.3+1173.1+1173.1+1173.2+1173.1+1173.1+1173.2+1173.1+1173.1+1173.2+1173.1+1173.1+1173.1+1173.1+1173.1+1173.1+1173.1+1173.1+1173.1+1173.1+1173.1</f>
        <v>26981.69999999999</v>
      </c>
      <c r="E152" s="110">
        <f>D152/D107*100</f>
        <v>9.997798992427642</v>
      </c>
      <c r="F152" s="97">
        <f t="shared" si="17"/>
        <v>95.83339252987054</v>
      </c>
      <c r="G152" s="97">
        <f t="shared" si="14"/>
        <v>63.88923091494599</v>
      </c>
      <c r="H152" s="98">
        <f t="shared" si="18"/>
        <v>1173.1000000000095</v>
      </c>
      <c r="I152" s="98">
        <f t="shared" si="16"/>
        <v>15250.30000000001</v>
      </c>
      <c r="K152" s="179"/>
      <c r="L152" s="180"/>
    </row>
    <row r="153" spans="1:12" s="2" customFormat="1" ht="19.5" thickBot="1">
      <c r="A153" s="29" t="s">
        <v>29</v>
      </c>
      <c r="B153" s="160"/>
      <c r="C153" s="62"/>
      <c r="D153" s="43">
        <f>D43+D69+D72+D77+D79+D87+D102+D107+D100+D84+D98</f>
        <v>279094.69999999995</v>
      </c>
      <c r="E153" s="15"/>
      <c r="F153" s="15"/>
      <c r="G153" s="6"/>
      <c r="H153" s="51"/>
      <c r="I153" s="43"/>
      <c r="K153" s="179"/>
      <c r="L153" s="181"/>
    </row>
    <row r="154" spans="1:12" ht="19.5" thickBot="1">
      <c r="A154" s="12" t="s">
        <v>18</v>
      </c>
      <c r="B154" s="39">
        <f>B6+B18+B33+B43+B51+B59+B69+B72+B77+B79+B87+B90+B95+B102+B107+B100+B84+B98+B45</f>
        <v>1442659.7</v>
      </c>
      <c r="C154" s="39">
        <f>C6+C18+C33+C43+C51+C59+C69+C72+C77+C79+C87+C90+C95+C102+C107+C100+C84+C98+C45</f>
        <v>2167977.1999999993</v>
      </c>
      <c r="D154" s="39">
        <f>D6+D18+D33+D43+D51+D59+D69+D72+D77+D79+D87+D90+D95+D102+D107+D100+D84+D98+D45</f>
        <v>1269533.4</v>
      </c>
      <c r="E154" s="28">
        <v>100</v>
      </c>
      <c r="F154" s="3">
        <f>D154/B154*100</f>
        <v>87.99950535805499</v>
      </c>
      <c r="G154" s="3">
        <f aca="true" t="shared" si="20" ref="G154:G160">D154/C154*100</f>
        <v>58.55842948901863</v>
      </c>
      <c r="H154" s="39">
        <f aca="true" t="shared" si="21" ref="H154:H160">B154-D154</f>
        <v>173126.30000000005</v>
      </c>
      <c r="I154" s="39">
        <f aca="true" t="shared" si="22" ref="I154:I160">C154-D154</f>
        <v>898443.7999999993</v>
      </c>
      <c r="K154" s="182"/>
      <c r="L154" s="183"/>
    </row>
    <row r="155" spans="1:12" ht="18.75">
      <c r="A155" s="16" t="s">
        <v>5</v>
      </c>
      <c r="B155" s="50">
        <f>B8+B20+B34+B52+B60+B91+B115+B120+B46+B142+B133+B103</f>
        <v>609540.8</v>
      </c>
      <c r="C155" s="50">
        <f>C8+C20+C34+C52+C60+C91+C115+C120+C46+C142+C133+C103</f>
        <v>896180.8</v>
      </c>
      <c r="D155" s="50">
        <f>D8+D20+D34+D52+D60+D91+D115+D120+D46+D142+D133+D103</f>
        <v>586538.91</v>
      </c>
      <c r="E155" s="6">
        <f>D155/D154*100</f>
        <v>46.20114051351465</v>
      </c>
      <c r="F155" s="6">
        <f aca="true" t="shared" si="23" ref="F155:F160">D155/B155*100</f>
        <v>96.22635761215655</v>
      </c>
      <c r="G155" s="6">
        <f t="shared" si="20"/>
        <v>65.44872530185873</v>
      </c>
      <c r="H155" s="51">
        <f t="shared" si="21"/>
        <v>23001.890000000014</v>
      </c>
      <c r="I155" s="61">
        <f t="shared" si="22"/>
        <v>309641.89</v>
      </c>
      <c r="K155" s="179"/>
      <c r="L155" s="183"/>
    </row>
    <row r="156" spans="1:12" ht="18.75">
      <c r="A156" s="16" t="s">
        <v>0</v>
      </c>
      <c r="B156" s="51">
        <f>B11+B23+B36+B55+B62+B92+B49+B143+B109+B112+B96+B140+B129</f>
        <v>67664.69999999998</v>
      </c>
      <c r="C156" s="51">
        <f>C11+C23+C36+C55+C62+C92+C49+C143+C109+C112+C96+C140+C129</f>
        <v>110563.99999999999</v>
      </c>
      <c r="D156" s="51">
        <f>D11+D23+D36+D55+D62+D92+D49+D143+D109+D112+D96+D140+D129</f>
        <v>65125.799999999974</v>
      </c>
      <c r="E156" s="6">
        <f>D156/D154*100</f>
        <v>5.129900481546998</v>
      </c>
      <c r="F156" s="6">
        <f t="shared" si="23"/>
        <v>96.24782198103293</v>
      </c>
      <c r="G156" s="6">
        <f t="shared" si="20"/>
        <v>58.90325965051913</v>
      </c>
      <c r="H156" s="51">
        <f>B156-D156</f>
        <v>2538.9000000000087</v>
      </c>
      <c r="I156" s="61">
        <f t="shared" si="22"/>
        <v>45438.20000000001</v>
      </c>
      <c r="K156" s="179"/>
      <c r="L156" s="184"/>
    </row>
    <row r="157" spans="1:12" ht="18.75">
      <c r="A157" s="16" t="s">
        <v>1</v>
      </c>
      <c r="B157" s="50">
        <f>B22+B10+B54+B48+B61+B35+B124</f>
        <v>28194.906000000003</v>
      </c>
      <c r="C157" s="50">
        <f>C22+C10+C54+C48+C61+C35+C124</f>
        <v>45948.3</v>
      </c>
      <c r="D157" s="50">
        <f>D22+D10+D54+D48+D61+D35+D124</f>
        <v>21279.299999999996</v>
      </c>
      <c r="E157" s="6">
        <f>D157/D154*100</f>
        <v>1.6761512536810765</v>
      </c>
      <c r="F157" s="6">
        <f t="shared" si="23"/>
        <v>75.47214379789028</v>
      </c>
      <c r="G157" s="6">
        <f t="shared" si="20"/>
        <v>46.31139781014748</v>
      </c>
      <c r="H157" s="51">
        <f t="shared" si="21"/>
        <v>6915.606000000007</v>
      </c>
      <c r="I157" s="61">
        <f t="shared" si="22"/>
        <v>24669.000000000007</v>
      </c>
      <c r="K157" s="179"/>
      <c r="L157" s="183"/>
    </row>
    <row r="158" spans="1:12" ht="21" customHeight="1">
      <c r="A158" s="16" t="s">
        <v>14</v>
      </c>
      <c r="B158" s="50">
        <f>B12+B24+B104+B63+B38+B93+B131+B56+B138+B118</f>
        <v>22512.600000000002</v>
      </c>
      <c r="C158" s="50">
        <f>C12+C24+C104+C63+C38+C93+C131+C56+C138+C118</f>
        <v>30229.899999999998</v>
      </c>
      <c r="D158" s="50">
        <f>D12+D24+D104+D63+D38+D93+D131+D56+D138+D118</f>
        <v>19074.900000000005</v>
      </c>
      <c r="E158" s="6">
        <f>D158/D154*100</f>
        <v>1.5025126554370296</v>
      </c>
      <c r="F158" s="6">
        <f t="shared" si="23"/>
        <v>84.72988459795849</v>
      </c>
      <c r="G158" s="6">
        <f t="shared" si="20"/>
        <v>63.09944789761133</v>
      </c>
      <c r="H158" s="51">
        <f>B158-D158</f>
        <v>3437.699999999997</v>
      </c>
      <c r="I158" s="61">
        <f t="shared" si="22"/>
        <v>11154.999999999993</v>
      </c>
      <c r="K158" s="179"/>
      <c r="L158" s="184"/>
    </row>
    <row r="159" spans="1:12" ht="18.75">
      <c r="A159" s="16" t="s">
        <v>2</v>
      </c>
      <c r="B159" s="50">
        <f>B9+B21+B47+B53+B123</f>
        <v>32.958</v>
      </c>
      <c r="C159" s="50">
        <f>C9+C21+C47+C53+C123</f>
        <v>113.10000000000001</v>
      </c>
      <c r="D159" s="50">
        <f>D9+D21+D47+D53+D123</f>
        <v>22</v>
      </c>
      <c r="E159" s="6">
        <f>D159/D154*100</f>
        <v>0.0017329201421561657</v>
      </c>
      <c r="F159" s="6">
        <f t="shared" si="23"/>
        <v>66.75162327811154</v>
      </c>
      <c r="G159" s="6">
        <f t="shared" si="20"/>
        <v>19.45181255526083</v>
      </c>
      <c r="H159" s="51">
        <f t="shared" si="21"/>
        <v>10.957999999999998</v>
      </c>
      <c r="I159" s="61">
        <f t="shared" si="22"/>
        <v>91.10000000000001</v>
      </c>
      <c r="K159" s="179"/>
      <c r="L159" s="183"/>
    </row>
    <row r="160" spans="1:12" ht="19.5" thickBot="1">
      <c r="A160" s="86" t="s">
        <v>27</v>
      </c>
      <c r="B160" s="63">
        <f>B154-B155-B156-B157-B158-B159</f>
        <v>714713.736</v>
      </c>
      <c r="C160" s="63">
        <f>C154-C155-C156-C157-C158-C159</f>
        <v>1084941.0999999992</v>
      </c>
      <c r="D160" s="63">
        <f>D154-D155-D156-D157-D158-D159</f>
        <v>577492.4899999999</v>
      </c>
      <c r="E160" s="31">
        <f>D160/D154*100</f>
        <v>45.488562175678084</v>
      </c>
      <c r="F160" s="31">
        <f t="shared" si="23"/>
        <v>80.80053046580873</v>
      </c>
      <c r="G160" s="31">
        <f t="shared" si="20"/>
        <v>53.22800380592092</v>
      </c>
      <c r="H160" s="87">
        <f t="shared" si="21"/>
        <v>137221.24600000016</v>
      </c>
      <c r="I160" s="87">
        <f t="shared" si="22"/>
        <v>507448.6099999993</v>
      </c>
      <c r="K160" s="179"/>
      <c r="L160" s="184"/>
    </row>
    <row r="161" spans="7:12" ht="12.75">
      <c r="G161" s="18"/>
      <c r="H161" s="18"/>
      <c r="K161" s="164"/>
      <c r="L161" s="164"/>
    </row>
    <row r="162" spans="3:11" ht="12.75">
      <c r="C162" s="151"/>
      <c r="G162" s="18"/>
      <c r="H162" s="18"/>
      <c r="I162" s="18"/>
      <c r="K162" s="93"/>
    </row>
    <row r="163" spans="7:11" ht="12.75">
      <c r="G163" s="18"/>
      <c r="H163" s="18"/>
      <c r="K163" s="93"/>
    </row>
    <row r="164" spans="7:11" ht="12.75">
      <c r="G164" s="18"/>
      <c r="H164" s="18"/>
      <c r="K164" s="93"/>
    </row>
    <row r="165" spans="4:8" ht="12.75">
      <c r="D165" s="151"/>
      <c r="G165" s="18"/>
      <c r="H165" s="18"/>
    </row>
    <row r="166" spans="2:8" ht="12.75">
      <c r="B166" s="153"/>
      <c r="C166" s="154"/>
      <c r="G166" s="18"/>
      <c r="H166" s="18"/>
    </row>
    <row r="167" spans="2:8" ht="12.75">
      <c r="B167" s="90"/>
      <c r="C167" s="90"/>
      <c r="D167" s="90"/>
      <c r="G167" s="18"/>
      <c r="H167" s="18"/>
    </row>
    <row r="168" spans="2:8" ht="12.75">
      <c r="B168" s="90"/>
      <c r="G168" s="18"/>
      <c r="H168" s="18"/>
    </row>
    <row r="169" spans="2:8" ht="12.75">
      <c r="B169" s="90"/>
      <c r="C169" s="151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1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2167977.1999999993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1269533.4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2167977.1999999993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1269533.4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2018-08-27T12:16:44Z</cp:lastPrinted>
  <dcterms:created xsi:type="dcterms:W3CDTF">2000-06-20T04:48:00Z</dcterms:created>
  <dcterms:modified xsi:type="dcterms:W3CDTF">2018-08-30T05:16:44Z</dcterms:modified>
  <cp:category/>
  <cp:version/>
  <cp:contentType/>
  <cp:contentStatus/>
</cp:coreProperties>
</file>